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TÀI LIỆU VĂN LANG\1. TÀI CHÍNH XÂY DỰNG\Đề Thi QT Tài Chính\"/>
    </mc:Choice>
  </mc:AlternateContent>
  <bookViews>
    <workbookView xWindow="0" yWindow="0" windowWidth="26505" windowHeight="13755"/>
  </bookViews>
  <sheets>
    <sheet name="Scenario Summary " sheetId="6" r:id="rId1"/>
    <sheet name="Phân tích" sheetId="1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9" i="1" l="1"/>
  <c r="D169" i="1"/>
  <c r="E169" i="1"/>
  <c r="C170" i="1"/>
  <c r="D170" i="1"/>
  <c r="E170" i="1"/>
  <c r="B170" i="1"/>
  <c r="B169" i="1"/>
  <c r="B165" i="1"/>
  <c r="C33" i="1"/>
  <c r="D33" i="1"/>
  <c r="E33" i="1"/>
  <c r="F33" i="1"/>
  <c r="G33" i="1"/>
  <c r="H33" i="1"/>
  <c r="H63" i="1"/>
  <c r="G132" i="1"/>
  <c r="H64" i="1"/>
  <c r="G133" i="1"/>
  <c r="B5" i="1"/>
  <c r="B4" i="1"/>
  <c r="B58" i="1"/>
  <c r="C52" i="1"/>
  <c r="C55" i="1"/>
  <c r="C58" i="1"/>
  <c r="D52" i="1"/>
  <c r="D55" i="1"/>
  <c r="D58" i="1"/>
  <c r="E52" i="1"/>
  <c r="E55" i="1"/>
  <c r="E58" i="1"/>
  <c r="F52" i="1"/>
  <c r="F55" i="1"/>
  <c r="F58" i="1"/>
  <c r="G52" i="1"/>
  <c r="G55" i="1"/>
  <c r="G58" i="1"/>
  <c r="H52" i="1"/>
  <c r="H53" i="1"/>
  <c r="H56" i="1"/>
  <c r="H66" i="1"/>
  <c r="G134" i="1"/>
  <c r="G131" i="1"/>
  <c r="B27" i="1"/>
  <c r="H27" i="1"/>
  <c r="H62" i="1"/>
  <c r="G135" i="1"/>
  <c r="C22" i="1"/>
  <c r="D22" i="1"/>
  <c r="E22" i="1"/>
  <c r="F22" i="1"/>
  <c r="G22" i="1"/>
  <c r="H22" i="1"/>
  <c r="H20" i="1"/>
  <c r="H24" i="1"/>
  <c r="H61" i="1"/>
  <c r="G136" i="1"/>
  <c r="G137" i="1"/>
  <c r="G138" i="1"/>
  <c r="C20" i="1"/>
  <c r="C24" i="1"/>
  <c r="C61" i="1"/>
  <c r="C73" i="1"/>
  <c r="C72" i="1"/>
  <c r="C27" i="1"/>
  <c r="C62" i="1"/>
  <c r="C63" i="1"/>
  <c r="C64" i="1"/>
  <c r="C65" i="1"/>
  <c r="C53" i="1"/>
  <c r="C56" i="1"/>
  <c r="C66" i="1"/>
  <c r="C67" i="1"/>
  <c r="C68" i="1"/>
  <c r="C81" i="1"/>
  <c r="C40" i="1"/>
  <c r="C80" i="1"/>
  <c r="C54" i="1"/>
  <c r="C82" i="1"/>
  <c r="C78" i="1"/>
  <c r="C83" i="1"/>
  <c r="D20" i="1"/>
  <c r="D24" i="1"/>
  <c r="D61" i="1"/>
  <c r="D73" i="1"/>
  <c r="D72" i="1"/>
  <c r="D27" i="1"/>
  <c r="D62" i="1"/>
  <c r="D63" i="1"/>
  <c r="D64" i="1"/>
  <c r="D65" i="1"/>
  <c r="D53" i="1"/>
  <c r="D56" i="1"/>
  <c r="D66" i="1"/>
  <c r="D67" i="1"/>
  <c r="D68" i="1"/>
  <c r="D81" i="1"/>
  <c r="D40" i="1"/>
  <c r="D80" i="1"/>
  <c r="D54" i="1"/>
  <c r="D82" i="1"/>
  <c r="D78" i="1"/>
  <c r="D83" i="1"/>
  <c r="E20" i="1"/>
  <c r="E24" i="1"/>
  <c r="E61" i="1"/>
  <c r="E73" i="1"/>
  <c r="E72" i="1"/>
  <c r="E27" i="1"/>
  <c r="E62" i="1"/>
  <c r="E63" i="1"/>
  <c r="E64" i="1"/>
  <c r="E65" i="1"/>
  <c r="E53" i="1"/>
  <c r="E56" i="1"/>
  <c r="E66" i="1"/>
  <c r="E67" i="1"/>
  <c r="E68" i="1"/>
  <c r="E81" i="1"/>
  <c r="E40" i="1"/>
  <c r="E80" i="1"/>
  <c r="E54" i="1"/>
  <c r="E82" i="1"/>
  <c r="E78" i="1"/>
  <c r="E83" i="1"/>
  <c r="F20" i="1"/>
  <c r="F24" i="1"/>
  <c r="F61" i="1"/>
  <c r="F73" i="1"/>
  <c r="F72" i="1"/>
  <c r="F27" i="1"/>
  <c r="F62" i="1"/>
  <c r="F63" i="1"/>
  <c r="F64" i="1"/>
  <c r="F65" i="1"/>
  <c r="F53" i="1"/>
  <c r="F56" i="1"/>
  <c r="F66" i="1"/>
  <c r="F67" i="1"/>
  <c r="F68" i="1"/>
  <c r="F81" i="1"/>
  <c r="F40" i="1"/>
  <c r="F80" i="1"/>
  <c r="F54" i="1"/>
  <c r="F82" i="1"/>
  <c r="F78" i="1"/>
  <c r="F83" i="1"/>
  <c r="G20" i="1"/>
  <c r="G24" i="1"/>
  <c r="G61" i="1"/>
  <c r="G73" i="1"/>
  <c r="G72" i="1"/>
  <c r="G27" i="1"/>
  <c r="G62" i="1"/>
  <c r="G63" i="1"/>
  <c r="G64" i="1"/>
  <c r="G65" i="1"/>
  <c r="G53" i="1"/>
  <c r="G56" i="1"/>
  <c r="G66" i="1"/>
  <c r="G67" i="1"/>
  <c r="G68" i="1"/>
  <c r="G81" i="1"/>
  <c r="G40" i="1"/>
  <c r="G80" i="1"/>
  <c r="G54" i="1"/>
  <c r="G82" i="1"/>
  <c r="G78" i="1"/>
  <c r="G83" i="1"/>
  <c r="H73" i="1"/>
  <c r="H72" i="1"/>
  <c r="H65" i="1"/>
  <c r="H67" i="1"/>
  <c r="H68" i="1"/>
  <c r="H81" i="1"/>
  <c r="H40" i="1"/>
  <c r="H80" i="1"/>
  <c r="H55" i="1"/>
  <c r="H54" i="1"/>
  <c r="H82" i="1"/>
  <c r="H78" i="1"/>
  <c r="H83" i="1"/>
  <c r="B74" i="1"/>
  <c r="B72" i="1"/>
  <c r="B79" i="1"/>
  <c r="B78" i="1"/>
  <c r="B83" i="1"/>
  <c r="B95" i="1"/>
  <c r="B94" i="1"/>
  <c r="B84" i="1"/>
  <c r="C84" i="1"/>
  <c r="D84" i="1"/>
  <c r="E84" i="1"/>
  <c r="F84" i="1"/>
  <c r="G84" i="1"/>
  <c r="H84" i="1"/>
  <c r="H88" i="1"/>
  <c r="H89" i="1"/>
  <c r="C85" i="1"/>
  <c r="B85" i="1"/>
  <c r="B86" i="1"/>
  <c r="C86" i="1"/>
  <c r="D85" i="1"/>
  <c r="D86" i="1"/>
  <c r="E85" i="1"/>
  <c r="E86" i="1"/>
  <c r="F85" i="1"/>
  <c r="F86" i="1"/>
  <c r="G85" i="1"/>
  <c r="G86" i="1"/>
  <c r="H85" i="1"/>
  <c r="H86" i="1"/>
  <c r="H91" i="1"/>
  <c r="H92" i="1"/>
  <c r="H77" i="1"/>
  <c r="H76" i="1"/>
  <c r="H75" i="1"/>
  <c r="H69" i="1"/>
  <c r="H58" i="1"/>
  <c r="B43" i="1"/>
  <c r="C132" i="1"/>
  <c r="C133" i="1"/>
  <c r="D133" i="1"/>
  <c r="E133" i="1"/>
  <c r="F133" i="1"/>
  <c r="B133" i="1"/>
  <c r="B132" i="1"/>
  <c r="B48" i="1"/>
  <c r="B47" i="1"/>
  <c r="B167" i="1"/>
  <c r="B166" i="1"/>
  <c r="B164" i="1"/>
  <c r="B163" i="1"/>
  <c r="B162" i="1"/>
  <c r="B161" i="1"/>
  <c r="B119" i="1"/>
  <c r="B120" i="1"/>
  <c r="B121" i="1"/>
  <c r="B122" i="1"/>
  <c r="B123" i="1"/>
  <c r="B124" i="1"/>
  <c r="B125" i="1"/>
  <c r="B126" i="1"/>
  <c r="B127" i="1"/>
  <c r="B45" i="1"/>
  <c r="C14" i="1"/>
  <c r="B136" i="1"/>
  <c r="C135" i="1"/>
  <c r="D29" i="1"/>
  <c r="E135" i="1"/>
  <c r="D135" i="1"/>
  <c r="F135" i="1"/>
  <c r="D132" i="1"/>
  <c r="C136" i="1"/>
  <c r="B134" i="1"/>
  <c r="B131" i="1"/>
  <c r="D136" i="1"/>
  <c r="E132" i="1"/>
  <c r="B135" i="1"/>
  <c r="B137" i="1"/>
  <c r="B138" i="1"/>
  <c r="E136" i="1"/>
  <c r="F136" i="1"/>
  <c r="F132" i="1"/>
  <c r="C134" i="1"/>
  <c r="C131" i="1"/>
  <c r="C137" i="1"/>
  <c r="C138" i="1"/>
  <c r="C69" i="1"/>
  <c r="C89" i="1"/>
  <c r="C88" i="1"/>
  <c r="C91" i="1"/>
  <c r="C92" i="1"/>
  <c r="D69" i="1"/>
  <c r="D134" i="1"/>
  <c r="D131" i="1"/>
  <c r="D137" i="1"/>
  <c r="D138" i="1"/>
  <c r="D91" i="1"/>
  <c r="E134" i="1"/>
  <c r="E131" i="1"/>
  <c r="E137" i="1"/>
  <c r="E138" i="1"/>
  <c r="D89" i="1"/>
  <c r="D88" i="1"/>
  <c r="E88" i="1"/>
  <c r="E69" i="1"/>
  <c r="F134" i="1"/>
  <c r="F131" i="1"/>
  <c r="F137" i="1"/>
  <c r="F138" i="1"/>
  <c r="F69" i="1"/>
  <c r="E91" i="1"/>
  <c r="D92" i="1"/>
  <c r="G69" i="1"/>
  <c r="F92" i="1"/>
  <c r="B103" i="1"/>
  <c r="B114" i="1"/>
  <c r="F88" i="1"/>
  <c r="F89" i="1"/>
  <c r="E89" i="1"/>
  <c r="F91" i="1"/>
  <c r="E92" i="1"/>
  <c r="G88" i="1"/>
  <c r="B97" i="1"/>
  <c r="G89" i="1"/>
  <c r="C97" i="1"/>
  <c r="G91" i="1"/>
  <c r="B98" i="1"/>
  <c r="G92" i="1"/>
  <c r="C98" i="1"/>
</calcChain>
</file>

<file path=xl/sharedStrings.xml><?xml version="1.0" encoding="utf-8"?>
<sst xmlns="http://schemas.openxmlformats.org/spreadsheetml/2006/main" count="167" uniqueCount="141">
  <si>
    <t>PHÂN TÍCH TÀI CHÍNH DỰ ÁN</t>
  </si>
  <si>
    <t>I. THÔNG SỐ</t>
  </si>
  <si>
    <t>1. CP đầu tư ban đầu</t>
  </si>
  <si>
    <t>a. CP cố định</t>
  </si>
  <si>
    <t>Đất/đặt cọc</t>
  </si>
  <si>
    <t>MMTB</t>
  </si>
  <si>
    <t>tr</t>
  </si>
  <si>
    <t>Xây dựng</t>
  </si>
  <si>
    <t>Khác (chứng nhận VG)</t>
  </si>
  <si>
    <t>b. Vốn lưu động</t>
  </si>
  <si>
    <t>2. Nguồn vốn</t>
  </si>
  <si>
    <t>CP đầu tư</t>
  </si>
  <si>
    <t>3. Thời gian khấu hao</t>
  </si>
  <si>
    <t>năm</t>
  </si>
  <si>
    <t>4. Dòng đời dự án</t>
  </si>
  <si>
    <t>5. Doanh thu</t>
  </si>
  <si>
    <t>Năm</t>
  </si>
  <si>
    <t>Sản lượng</t>
  </si>
  <si>
    <t>Hao hụt</t>
  </si>
  <si>
    <t>Giá</t>
  </si>
  <si>
    <t>Hệ số tăng giá</t>
  </si>
  <si>
    <t>Doanh thu</t>
  </si>
  <si>
    <t>6. CP hoạt động (chưa có khấu hao và lãi vay)</t>
  </si>
  <si>
    <t>Biến phí</t>
  </si>
  <si>
    <t xml:space="preserve">  Thức ăn</t>
  </si>
  <si>
    <t xml:space="preserve">  Giống</t>
  </si>
  <si>
    <t xml:space="preserve">  Thuốc</t>
  </si>
  <si>
    <t xml:space="preserve">  Điện nước</t>
  </si>
  <si>
    <t xml:space="preserve">  Nhân công</t>
  </si>
  <si>
    <t>Định phí</t>
  </si>
  <si>
    <t xml:space="preserve">  Xử lý phân</t>
  </si>
  <si>
    <t xml:space="preserve">   Bảo trì, SC</t>
  </si>
  <si>
    <t xml:space="preserve">   Thuê đất</t>
  </si>
  <si>
    <t xml:space="preserve">   Quản lý</t>
  </si>
  <si>
    <t xml:space="preserve">   Bán hàng</t>
  </si>
  <si>
    <t xml:space="preserve"> Hệ số tăng cp</t>
  </si>
  <si>
    <t>CP hoạt động</t>
  </si>
  <si>
    <t>7. Thuế TNDN</t>
  </si>
  <si>
    <t>8. Giá trị thu hồi</t>
  </si>
  <si>
    <t xml:space="preserve"> Thu hồi đất/đặt cọc</t>
  </si>
  <si>
    <t xml:space="preserve"> Thanh lý TSCĐ</t>
  </si>
  <si>
    <t xml:space="preserve">  Vốn lưu động</t>
  </si>
  <si>
    <t>II. KẾ HOẠCH TÀI CHÍNH</t>
  </si>
  <si>
    <t>1. Kế hoạch vay và trả nợ</t>
  </si>
  <si>
    <t>Nợ đầu kỳ</t>
  </si>
  <si>
    <t>Lãi phát sinh</t>
  </si>
  <si>
    <t xml:space="preserve">Trả nợ: </t>
  </si>
  <si>
    <t xml:space="preserve">   Trả gốc</t>
  </si>
  <si>
    <t xml:space="preserve">   Trả lãi</t>
  </si>
  <si>
    <t>Nợ mới phát sinh</t>
  </si>
  <si>
    <t>Nợ cuối kỳ</t>
  </si>
  <si>
    <t>2. Kế hoạch thu nhập</t>
  </si>
  <si>
    <t xml:space="preserve"> (-) Biến phí </t>
  </si>
  <si>
    <t xml:space="preserve"> (-) Định phí</t>
  </si>
  <si>
    <t xml:space="preserve"> (-) Khấu hao</t>
  </si>
  <si>
    <t>LN trước thuế và lãi vay</t>
  </si>
  <si>
    <t xml:space="preserve"> (-) Trả lãi vay</t>
  </si>
  <si>
    <t>LN trước thuế</t>
  </si>
  <si>
    <t xml:space="preserve"> (-) Thuế TNDN</t>
  </si>
  <si>
    <t>LN sau thuế</t>
  </si>
  <si>
    <t>Dòng tiền vào</t>
  </si>
  <si>
    <t xml:space="preserve">  Doanh thu</t>
  </si>
  <si>
    <t xml:space="preserve">  Vốn vay</t>
  </si>
  <si>
    <t xml:space="preserve">  Thu hồi đất</t>
  </si>
  <si>
    <t xml:space="preserve">  Thanh lý TSCĐ</t>
  </si>
  <si>
    <t xml:space="preserve">  Thu hồi vốn lưu động</t>
  </si>
  <si>
    <t>Dòng tiền ra</t>
  </si>
  <si>
    <t xml:space="preserve">  CP đầu tư</t>
  </si>
  <si>
    <t xml:space="preserve">  CP hoạt động</t>
  </si>
  <si>
    <t xml:space="preserve">  Thuế TNDN</t>
  </si>
  <si>
    <t xml:space="preserve">  Trả nợ</t>
  </si>
  <si>
    <t>Dòng tiền ròng NCFt</t>
  </si>
  <si>
    <t>III. HIỆU QUẢ TÀI CHÍNH</t>
  </si>
  <si>
    <t>1. Hiện giá thuần NPV</t>
  </si>
  <si>
    <t>2. Tỷ suất sinh lời nội bộ IRR</t>
  </si>
  <si>
    <t>3. Thời gian hoàn vốn PP</t>
  </si>
  <si>
    <t xml:space="preserve">PP chưa chiết </t>
  </si>
  <si>
    <t>Lũy kế</t>
  </si>
  <si>
    <t>PP chưa CK</t>
  </si>
  <si>
    <t xml:space="preserve"> Số tháng</t>
  </si>
  <si>
    <t xml:space="preserve"> Số năm</t>
  </si>
  <si>
    <t>PP có chiết khấu</t>
  </si>
  <si>
    <t>Hiện giá dòng tiền NCFt/(1+r)^t</t>
  </si>
  <si>
    <t>PP có CK</t>
  </si>
  <si>
    <t>IV. PHÂN TÍCH ĐỘ NHẠY</t>
  </si>
  <si>
    <t>1. Phân tích sự thay đổi của NPV khi giá bán và giá thức ăn thay đổi</t>
  </si>
  <si>
    <t>Giá bán</t>
  </si>
  <si>
    <t>Giá thức ăn</t>
  </si>
  <si>
    <t>2. Phân tích sự thay đổi IRR khi tỷ lệ hao hụt và giá thay đổi</t>
  </si>
  <si>
    <t>Tỷ lệ hao hụt</t>
  </si>
  <si>
    <t>V. PHÂN TÍCH ĐIỂM HÒA VỐN</t>
  </si>
  <si>
    <t>Doanh thu hòa vốn</t>
  </si>
  <si>
    <t>Định phí, trong đó:</t>
  </si>
  <si>
    <t xml:space="preserve"> Định phí hoạt động</t>
  </si>
  <si>
    <t xml:space="preserve"> Khấu hao</t>
  </si>
  <si>
    <t xml:space="preserve"> Lãi vay</t>
  </si>
  <si>
    <t>Doanh thu kế hoạch</t>
  </si>
  <si>
    <t>Số ngày hòa vốn</t>
  </si>
  <si>
    <t>Tìm sản lượng mà tại đó NPV=0</t>
  </si>
  <si>
    <t>Sản lượng hòa vốn=</t>
  </si>
  <si>
    <t>VI. PHÂN TÍCH KỊCH BẢN</t>
  </si>
  <si>
    <t>Nội dung thay đổi</t>
  </si>
  <si>
    <t>Tỷ hao hụt</t>
  </si>
  <si>
    <t>CP giống</t>
  </si>
  <si>
    <t>CP thức ăn</t>
  </si>
  <si>
    <t>Giả định ban đầu</t>
  </si>
  <si>
    <t>KẾT QUẢ</t>
  </si>
  <si>
    <t>NPV</t>
  </si>
  <si>
    <t>IRR</t>
  </si>
  <si>
    <t>TH1</t>
  </si>
  <si>
    <t>TH2</t>
  </si>
  <si>
    <t>TH3</t>
  </si>
  <si>
    <t>3. Dòng tiền theo quan điểm chủ sở hữu (EPV)</t>
  </si>
  <si>
    <t>1. Phân tích hoà vốn theo năm</t>
  </si>
  <si>
    <t xml:space="preserve">2. Phân tích hoà vốn tổng thể dự án </t>
  </si>
  <si>
    <t>Lãi kỳ vọng re</t>
  </si>
  <si>
    <t>Lãi vay rd</t>
  </si>
  <si>
    <t>Vốn CSH E</t>
  </si>
  <si>
    <t>Vay D</t>
  </si>
  <si>
    <t>9. Suất chiết khấu</t>
  </si>
  <si>
    <t>r(EPV)=</t>
  </si>
  <si>
    <t>r(TIPV)=E%*re+D%*rd</t>
  </si>
  <si>
    <t>$B$7</t>
  </si>
  <si>
    <t>$B$20</t>
  </si>
  <si>
    <t>$B$21</t>
  </si>
  <si>
    <t>$B$22</t>
  </si>
  <si>
    <t>$B$28</t>
  </si>
  <si>
    <t>$B$29</t>
  </si>
  <si>
    <t>$B$33</t>
  </si>
  <si>
    <t>$B$94</t>
  </si>
  <si>
    <t>$B$95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</si>
  <si>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</si>
  <si>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</si>
  <si>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</si>
  <si>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</si>
  <si>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</si>
  <si>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</si>
  <si>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</si>
  <si>
    <t>DỰ ÁN: TRANG TRẠI NUÔI HEO - QUI MÔ 500 CON</t>
  </si>
  <si>
    <t>Created by Huynh Thanh Dien on 12/29/2020_x000D_Modified by Huynh Thanh Dien on 12/29/2020
Modified by VINH TRAN on 23/11/2021</t>
  </si>
  <si>
    <t>Created by Huynh Thanh Dien on 12/29/2020
Modified by VINH TRAN on 23/11/2021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</si>
</sst>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-;\-* #,##0.00_-;_-* &quot;-&quot;??_-;_-@_-"/>
    <numFmt numFmtId="165" formatCode="_-* #,##0_-;\-* #,##0_-;_-* &quot;-&quot;??_-;_-@_-"/>
    <numFmt numFmtId="166" formatCode="0\ &quot;con/năm&quot;"/>
    <numFmt numFmtId="167" formatCode="0\ &quot;tr/con&quot;"/>
    <numFmt numFmtId="168" formatCode="0.00\ &quot;tr/con&quot;"/>
    <numFmt numFmtId="169" formatCode="0.00\ &quot;tr/năm&quot;"/>
    <numFmt numFmtId="170" formatCode="0\ &quot;năm&quot;"/>
    <numFmt numFmtId="171" formatCode="0\ &quot;tháng&quot;"/>
    <numFmt numFmtId="172" formatCode="0.0%"/>
    <numFmt numFmtId="173" formatCode="0\ &quot;ngày&quot;"/>
    <numFmt numFmtId="174" formatCode="0.000%"/>
    <numFmt numFmtId="175" formatCode="_-* #,##0.0_-;\-* #,##0.0_-;_-* &quot;-&quot;??_-;_-@_-"/>
  </numFmts>
  <fonts count="16" x14ac:knownFonts="1">
    <font>
      <sz val="13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i/>
      <sz val="13"/>
      <color theme="1"/>
      <name val="Arial"/>
      <family val="2"/>
    </font>
    <font>
      <u val="singleAccounting"/>
      <sz val="13"/>
      <color theme="1"/>
      <name val="Arial"/>
      <family val="2"/>
    </font>
    <font>
      <b/>
      <sz val="16"/>
      <color theme="1"/>
      <name val="Arial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i/>
      <sz val="13"/>
      <color rgb="FFFF0000"/>
      <name val="Arial"/>
    </font>
    <font>
      <b/>
      <sz val="13"/>
      <color theme="0"/>
      <name val="Arial"/>
      <family val="2"/>
    </font>
    <font>
      <b/>
      <sz val="24"/>
      <color theme="0"/>
      <name val="Arial"/>
      <family val="2"/>
    </font>
    <font>
      <b/>
      <sz val="14"/>
      <color indexed="9"/>
      <name val="Arial"/>
      <family val="2"/>
    </font>
    <font>
      <b/>
      <sz val="13"/>
      <color indexed="8"/>
      <name val="Arial"/>
      <family val="2"/>
    </font>
    <font>
      <b/>
      <sz val="13"/>
      <color indexed="18"/>
      <name val="Arial"/>
      <family val="2"/>
    </font>
    <font>
      <sz val="12"/>
      <color indexed="9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0" fillId="0" borderId="0" xfId="0" applyFont="1"/>
    <xf numFmtId="0" fontId="3" fillId="0" borderId="0" xfId="0" applyFont="1"/>
    <xf numFmtId="165" fontId="0" fillId="0" borderId="0" xfId="0" applyNumberFormat="1"/>
    <xf numFmtId="0" fontId="0" fillId="0" borderId="1" xfId="0" applyBorder="1"/>
    <xf numFmtId="165" fontId="2" fillId="0" borderId="0" xfId="0" applyNumberFormat="1" applyFont="1"/>
    <xf numFmtId="0" fontId="2" fillId="0" borderId="1" xfId="0" applyFont="1" applyBorder="1"/>
    <xf numFmtId="165" fontId="2" fillId="0" borderId="1" xfId="0" applyNumberFormat="1" applyFont="1" applyBorder="1"/>
    <xf numFmtId="165" fontId="2" fillId="0" borderId="1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5" fontId="0" fillId="0" borderId="0" xfId="1" applyNumberFormat="1" applyFont="1" applyBorder="1"/>
    <xf numFmtId="0" fontId="0" fillId="0" borderId="0" xfId="0" applyBorder="1"/>
    <xf numFmtId="0" fontId="0" fillId="0" borderId="6" xfId="0" applyBorder="1"/>
    <xf numFmtId="0" fontId="0" fillId="0" borderId="5" xfId="0" applyFont="1" applyBorder="1"/>
    <xf numFmtId="165" fontId="1" fillId="0" borderId="0" xfId="1" applyNumberFormat="1" applyFont="1" applyBorder="1"/>
    <xf numFmtId="0" fontId="0" fillId="0" borderId="0" xfId="0" applyFont="1" applyBorder="1"/>
    <xf numFmtId="0" fontId="0" fillId="0" borderId="6" xfId="0" applyFont="1" applyBorder="1"/>
    <xf numFmtId="9" fontId="0" fillId="0" borderId="0" xfId="0" applyNumberFormat="1" applyBorder="1"/>
    <xf numFmtId="164" fontId="2" fillId="0" borderId="0" xfId="1" applyFont="1" applyBorder="1"/>
    <xf numFmtId="0" fontId="2" fillId="0" borderId="0" xfId="0" applyFont="1" applyBorder="1"/>
    <xf numFmtId="0" fontId="0" fillId="0" borderId="7" xfId="0" applyFont="1" applyBorder="1"/>
    <xf numFmtId="0" fontId="0" fillId="0" borderId="8" xfId="0" applyBorder="1"/>
    <xf numFmtId="166" fontId="0" fillId="0" borderId="0" xfId="0" applyNumberFormat="1" applyBorder="1"/>
    <xf numFmtId="0" fontId="3" fillId="0" borderId="5" xfId="0" applyFont="1" applyBorder="1"/>
    <xf numFmtId="9" fontId="3" fillId="0" borderId="0" xfId="0" applyNumberFormat="1" applyFont="1" applyBorder="1"/>
    <xf numFmtId="0" fontId="3" fillId="0" borderId="0" xfId="0" applyFont="1" applyBorder="1"/>
    <xf numFmtId="164" fontId="0" fillId="0" borderId="0" xfId="1" applyFont="1" applyBorder="1"/>
    <xf numFmtId="0" fontId="2" fillId="0" borderId="7" xfId="0" applyFont="1" applyBorder="1"/>
    <xf numFmtId="168" fontId="2" fillId="0" borderId="0" xfId="0" applyNumberFormat="1" applyFont="1" applyBorder="1"/>
    <xf numFmtId="165" fontId="2" fillId="0" borderId="0" xfId="1" applyNumberFormat="1" applyFont="1" applyBorder="1"/>
    <xf numFmtId="168" fontId="3" fillId="0" borderId="0" xfId="0" applyNumberFormat="1" applyFont="1" applyBorder="1"/>
    <xf numFmtId="169" fontId="3" fillId="0" borderId="0" xfId="0" applyNumberFormat="1" applyFont="1" applyBorder="1"/>
    <xf numFmtId="9" fontId="3" fillId="0" borderId="0" xfId="2" applyFont="1" applyBorder="1"/>
    <xf numFmtId="165" fontId="0" fillId="0" borderId="0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5" xfId="0" applyFont="1" applyFill="1" applyBorder="1"/>
    <xf numFmtId="0" fontId="0" fillId="0" borderId="12" xfId="0" applyBorder="1"/>
    <xf numFmtId="0" fontId="0" fillId="0" borderId="0" xfId="0" applyFill="1" applyBorder="1"/>
    <xf numFmtId="1" fontId="0" fillId="0" borderId="0" xfId="0" applyNumberFormat="1"/>
    <xf numFmtId="165" fontId="3" fillId="0" borderId="0" xfId="1" applyNumberFormat="1" applyFont="1"/>
    <xf numFmtId="0" fontId="2" fillId="0" borderId="0" xfId="0" applyFont="1" applyFill="1" applyBorder="1"/>
    <xf numFmtId="0" fontId="0" fillId="0" borderId="10" xfId="0" applyFont="1" applyFill="1" applyBorder="1"/>
    <xf numFmtId="0" fontId="0" fillId="0" borderId="10" xfId="0" applyFont="1" applyBorder="1"/>
    <xf numFmtId="165" fontId="0" fillId="0" borderId="10" xfId="0" applyNumberFormat="1" applyFont="1" applyBorder="1"/>
    <xf numFmtId="0" fontId="0" fillId="0" borderId="0" xfId="0" applyFont="1" applyFill="1" applyBorder="1"/>
    <xf numFmtId="0" fontId="0" fillId="0" borderId="13" xfId="0" applyFont="1" applyFill="1" applyBorder="1"/>
    <xf numFmtId="0" fontId="0" fillId="0" borderId="13" xfId="0" applyBorder="1"/>
    <xf numFmtId="165" fontId="2" fillId="0" borderId="14" xfId="0" applyNumberFormat="1" applyFont="1" applyBorder="1"/>
    <xf numFmtId="0" fontId="2" fillId="0" borderId="13" xfId="0" applyFont="1" applyFill="1" applyBorder="1"/>
    <xf numFmtId="165" fontId="4" fillId="0" borderId="10" xfId="0" applyNumberFormat="1" applyFont="1" applyBorder="1"/>
    <xf numFmtId="165" fontId="2" fillId="2" borderId="13" xfId="0" applyNumberFormat="1" applyFont="1" applyFill="1" applyBorder="1"/>
    <xf numFmtId="168" fontId="3" fillId="2" borderId="0" xfId="0" applyNumberFormat="1" applyFont="1" applyFill="1" applyBorder="1"/>
    <xf numFmtId="0" fontId="3" fillId="0" borderId="0" xfId="0" applyFont="1" applyFill="1" applyBorder="1"/>
    <xf numFmtId="165" fontId="3" fillId="0" borderId="0" xfId="0" applyNumberFormat="1" applyFont="1"/>
    <xf numFmtId="165" fontId="2" fillId="0" borderId="3" xfId="0" applyNumberFormat="1" applyFont="1" applyBorder="1"/>
    <xf numFmtId="0" fontId="0" fillId="0" borderId="5" xfId="0" applyBorder="1"/>
    <xf numFmtId="0" fontId="2" fillId="0" borderId="6" xfId="0" applyFont="1" applyBorder="1"/>
    <xf numFmtId="0" fontId="2" fillId="0" borderId="2" xfId="0" applyFont="1" applyFill="1" applyBorder="1"/>
    <xf numFmtId="9" fontId="2" fillId="0" borderId="0" xfId="0" applyNumberFormat="1" applyFont="1" applyFill="1" applyBorder="1"/>
    <xf numFmtId="170" fontId="0" fillId="0" borderId="0" xfId="0" applyNumberFormat="1" applyBorder="1"/>
    <xf numFmtId="171" fontId="0" fillId="0" borderId="0" xfId="0" applyNumberFormat="1" applyBorder="1"/>
    <xf numFmtId="0" fontId="2" fillId="0" borderId="9" xfId="0" applyFont="1" applyFill="1" applyBorder="1"/>
    <xf numFmtId="170" fontId="0" fillId="0" borderId="10" xfId="0" applyNumberFormat="1" applyBorder="1"/>
    <xf numFmtId="171" fontId="0" fillId="0" borderId="10" xfId="0" applyNumberFormat="1" applyBorder="1"/>
    <xf numFmtId="165" fontId="1" fillId="2" borderId="0" xfId="1" applyNumberFormat="1" applyFont="1" applyFill="1" applyBorder="1"/>
    <xf numFmtId="167" fontId="0" fillId="2" borderId="0" xfId="0" applyNumberFormat="1" applyFill="1" applyBorder="1"/>
    <xf numFmtId="9" fontId="3" fillId="2" borderId="0" xfId="0" applyNumberFormat="1" applyFont="1" applyFill="1" applyBorder="1"/>
    <xf numFmtId="169" fontId="2" fillId="2" borderId="1" xfId="0" applyNumberFormat="1" applyFont="1" applyFill="1" applyBorder="1"/>
    <xf numFmtId="0" fontId="0" fillId="2" borderId="0" xfId="0" applyFill="1"/>
    <xf numFmtId="0" fontId="0" fillId="0" borderId="15" xfId="0" applyBorder="1"/>
    <xf numFmtId="0" fontId="0" fillId="2" borderId="15" xfId="0" applyFill="1" applyBorder="1"/>
    <xf numFmtId="165" fontId="0" fillId="0" borderId="15" xfId="0" applyNumberFormat="1" applyBorder="1"/>
    <xf numFmtId="165" fontId="0" fillId="0" borderId="15" xfId="1" applyNumberFormat="1" applyFont="1" applyBorder="1"/>
    <xf numFmtId="165" fontId="0" fillId="2" borderId="15" xfId="1" applyNumberFormat="1" applyFont="1" applyFill="1" applyBorder="1"/>
    <xf numFmtId="9" fontId="0" fillId="0" borderId="0" xfId="0" applyNumberFormat="1"/>
    <xf numFmtId="9" fontId="0" fillId="0" borderId="15" xfId="2" applyFont="1" applyBorder="1"/>
    <xf numFmtId="9" fontId="0" fillId="2" borderId="15" xfId="2" applyFont="1" applyFill="1" applyBorder="1"/>
    <xf numFmtId="172" fontId="0" fillId="0" borderId="15" xfId="2" applyNumberFormat="1" applyFont="1" applyBorder="1"/>
    <xf numFmtId="172" fontId="0" fillId="2" borderId="15" xfId="2" applyNumberFormat="1" applyFont="1" applyFill="1" applyBorder="1"/>
    <xf numFmtId="0" fontId="0" fillId="0" borderId="1" xfId="0" applyFill="1" applyBorder="1"/>
    <xf numFmtId="165" fontId="0" fillId="0" borderId="0" xfId="0" applyNumberFormat="1" applyFont="1"/>
    <xf numFmtId="173" fontId="0" fillId="0" borderId="0" xfId="0" applyNumberFormat="1"/>
    <xf numFmtId="0" fontId="2" fillId="0" borderId="16" xfId="0" applyFont="1" applyBorder="1"/>
    <xf numFmtId="166" fontId="0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2" xfId="0" applyFont="1" applyFill="1" applyBorder="1"/>
    <xf numFmtId="169" fontId="0" fillId="0" borderId="12" xfId="0" applyNumberFormat="1" applyBorder="1"/>
    <xf numFmtId="0" fontId="0" fillId="0" borderId="12" xfId="0" applyFont="1" applyBorder="1"/>
    <xf numFmtId="0" fontId="7" fillId="0" borderId="0" xfId="0" applyFont="1" applyFill="1" applyBorder="1"/>
    <xf numFmtId="0" fontId="7" fillId="0" borderId="0" xfId="0" applyFont="1"/>
    <xf numFmtId="9" fontId="6" fillId="0" borderId="0" xfId="0" applyNumberFormat="1" applyFont="1" applyBorder="1"/>
    <xf numFmtId="9" fontId="0" fillId="0" borderId="0" xfId="2" applyFont="1" applyBorder="1"/>
    <xf numFmtId="174" fontId="0" fillId="0" borderId="10" xfId="0" applyNumberFormat="1" applyBorder="1"/>
    <xf numFmtId="164" fontId="0" fillId="0" borderId="0" xfId="1" applyNumberFormat="1" applyFont="1"/>
    <xf numFmtId="0" fontId="6" fillId="0" borderId="0" xfId="0" applyFont="1"/>
    <xf numFmtId="164" fontId="6" fillId="0" borderId="0" xfId="1" applyNumberFormat="1" applyFont="1"/>
    <xf numFmtId="0" fontId="8" fillId="0" borderId="0" xfId="0" applyFont="1"/>
    <xf numFmtId="165" fontId="2" fillId="0" borderId="13" xfId="0" applyNumberFormat="1" applyFont="1" applyFill="1" applyBorder="1"/>
    <xf numFmtId="0" fontId="6" fillId="0" borderId="0" xfId="0" applyFont="1" applyFill="1" applyBorder="1"/>
    <xf numFmtId="165" fontId="6" fillId="0" borderId="0" xfId="0" applyNumberFormat="1" applyFont="1"/>
    <xf numFmtId="164" fontId="2" fillId="0" borderId="3" xfId="0" applyNumberFormat="1" applyFont="1" applyFill="1" applyBorder="1"/>
    <xf numFmtId="166" fontId="0" fillId="2" borderId="17" xfId="0" applyNumberFormat="1" applyFill="1" applyBorder="1"/>
    <xf numFmtId="164" fontId="0" fillId="0" borderId="0" xfId="0" applyNumberFormat="1"/>
    <xf numFmtId="0" fontId="0" fillId="0" borderId="2" xfId="0" applyFont="1" applyFill="1" applyBorder="1"/>
    <xf numFmtId="165" fontId="0" fillId="0" borderId="18" xfId="0" applyNumberFormat="1" applyFill="1" applyBorder="1" applyAlignment="1"/>
    <xf numFmtId="0" fontId="0" fillId="0" borderId="9" xfId="0" applyFont="1" applyFill="1" applyBorder="1"/>
    <xf numFmtId="10" fontId="0" fillId="0" borderId="19" xfId="2" applyNumberFormat="1" applyFont="1" applyFill="1" applyBorder="1" applyAlignment="1"/>
    <xf numFmtId="164" fontId="8" fillId="0" borderId="0" xfId="1" applyNumberFormat="1" applyFont="1"/>
    <xf numFmtId="175" fontId="0" fillId="0" borderId="0" xfId="1" applyNumberFormat="1" applyFont="1"/>
    <xf numFmtId="164" fontId="0" fillId="0" borderId="12" xfId="0" applyNumberFormat="1" applyBorder="1"/>
    <xf numFmtId="164" fontId="0" fillId="0" borderId="12" xfId="1" applyNumberFormat="1" applyFont="1" applyBorder="1"/>
    <xf numFmtId="0" fontId="9" fillId="3" borderId="0" xfId="0" applyFont="1" applyFill="1" applyAlignment="1">
      <alignment vertical="center"/>
    </xf>
    <xf numFmtId="165" fontId="2" fillId="0" borderId="3" xfId="1" applyNumberFormat="1" applyFont="1" applyBorder="1" applyAlignment="1">
      <alignment vertical="center"/>
    </xf>
    <xf numFmtId="0" fontId="2" fillId="4" borderId="2" xfId="0" applyFont="1" applyFill="1" applyBorder="1"/>
    <xf numFmtId="0" fontId="2" fillId="4" borderId="5" xfId="0" applyFont="1" applyFill="1" applyBorder="1"/>
    <xf numFmtId="0" fontId="0" fillId="4" borderId="5" xfId="0" applyFont="1" applyFill="1" applyBorder="1"/>
    <xf numFmtId="0" fontId="3" fillId="4" borderId="5" xfId="0" applyFont="1" applyFill="1" applyBorder="1"/>
    <xf numFmtId="0" fontId="10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65" fontId="2" fillId="0" borderId="13" xfId="0" applyNumberFormat="1" applyFont="1" applyBorder="1"/>
    <xf numFmtId="0" fontId="2" fillId="0" borderId="20" xfId="0" applyFont="1" applyBorder="1"/>
    <xf numFmtId="0" fontId="2" fillId="0" borderId="13" xfId="0" applyFont="1" applyBorder="1"/>
    <xf numFmtId="0" fontId="0" fillId="0" borderId="20" xfId="0" applyBorder="1"/>
    <xf numFmtId="165" fontId="2" fillId="0" borderId="13" xfId="1" applyNumberFormat="1" applyFont="1" applyBorder="1"/>
    <xf numFmtId="172" fontId="0" fillId="0" borderId="15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 applyAlignment="1"/>
    <xf numFmtId="166" fontId="0" fillId="0" borderId="0" xfId="0" applyNumberFormat="1" applyFill="1" applyBorder="1" applyAlignment="1"/>
    <xf numFmtId="9" fontId="0" fillId="0" borderId="0" xfId="0" applyNumberFormat="1" applyFill="1" applyBorder="1" applyAlignment="1"/>
    <xf numFmtId="167" fontId="0" fillId="0" borderId="0" xfId="0" applyNumberFormat="1" applyFill="1" applyBorder="1" applyAlignment="1"/>
    <xf numFmtId="168" fontId="0" fillId="0" borderId="0" xfId="0" applyNumberFormat="1" applyFill="1" applyBorder="1" applyAlignment="1"/>
    <xf numFmtId="169" fontId="0" fillId="0" borderId="0" xfId="0" applyNumberFormat="1" applyFill="1" applyBorder="1" applyAlignment="1"/>
    <xf numFmtId="164" fontId="0" fillId="0" borderId="0" xfId="0" applyNumberFormat="1" applyFill="1" applyBorder="1" applyAlignment="1"/>
    <xf numFmtId="9" fontId="0" fillId="0" borderId="10" xfId="0" applyNumberFormat="1" applyFill="1" applyBorder="1" applyAlignment="1"/>
    <xf numFmtId="0" fontId="11" fillId="5" borderId="12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0" fillId="0" borderId="13" xfId="0" applyFill="1" applyBorder="1" applyAlignment="1"/>
    <xf numFmtId="0" fontId="12" fillId="6" borderId="0" xfId="0" applyFont="1" applyFill="1" applyBorder="1" applyAlignment="1">
      <alignment horizontal="left"/>
    </xf>
    <xf numFmtId="0" fontId="13" fillId="6" borderId="13" xfId="0" applyFont="1" applyFill="1" applyBorder="1" applyAlignment="1">
      <alignment horizontal="left"/>
    </xf>
    <xf numFmtId="0" fontId="12" fillId="6" borderId="10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right"/>
    </xf>
    <xf numFmtId="0" fontId="14" fillId="5" borderId="12" xfId="0" applyFont="1" applyFill="1" applyBorder="1" applyAlignment="1">
      <alignment horizontal="right"/>
    </xf>
    <xf numFmtId="165" fontId="0" fillId="7" borderId="0" xfId="0" applyNumberFormat="1" applyFill="1" applyBorder="1" applyAlignment="1"/>
    <xf numFmtId="166" fontId="0" fillId="7" borderId="0" xfId="0" applyNumberFormat="1" applyFill="1" applyBorder="1" applyAlignment="1"/>
    <xf numFmtId="9" fontId="0" fillId="7" borderId="0" xfId="0" applyNumberFormat="1" applyFill="1" applyBorder="1" applyAlignment="1"/>
    <xf numFmtId="167" fontId="0" fillId="7" borderId="0" xfId="0" applyNumberFormat="1" applyFill="1" applyBorder="1" applyAlignment="1"/>
    <xf numFmtId="168" fontId="0" fillId="7" borderId="0" xfId="0" applyNumberFormat="1" applyFill="1" applyBorder="1" applyAlignment="1"/>
    <xf numFmtId="169" fontId="0" fillId="7" borderId="0" xfId="0" applyNumberFormat="1" applyFill="1" applyBorder="1" applyAlignment="1"/>
    <xf numFmtId="0" fontId="15" fillId="0" borderId="0" xfId="0" applyFont="1" applyFill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'Phân tích'!$A$136</c:f>
              <c:strCache>
                <c:ptCount val="1"/>
                <c:pt idx="0">
                  <c:v>Doanh thu kế hoạch</c:v>
                </c:pt>
              </c:strCache>
            </c:strRef>
          </c:tx>
          <c:val>
            <c:numRef>
              <c:f>'Phân tích'!$B$136:$G$136</c:f>
              <c:numCache>
                <c:formatCode>_-* #,##0_-;\-* #,##0_-;_-* "-"??_-;_-@_-</c:formatCode>
                <c:ptCount val="6"/>
                <c:pt idx="0">
                  <c:v>3819.375</c:v>
                </c:pt>
                <c:pt idx="1">
                  <c:v>4010.3437500000005</c:v>
                </c:pt>
                <c:pt idx="2">
                  <c:v>4210.8609375000005</c:v>
                </c:pt>
                <c:pt idx="3">
                  <c:v>4421.4039843750006</c:v>
                </c:pt>
                <c:pt idx="4">
                  <c:v>4642.4741835937502</c:v>
                </c:pt>
                <c:pt idx="5">
                  <c:v>4874.5978927734386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9-4916-88DD-FAC7C88B7A96}"/>
            </c:ext>
          </c:extLst>
        </c:ser>
        <c:ser>
          <c:idx val="1"/>
          <c:order val="1"/>
          <c:tx>
            <c:strRef>
              <c:f>'Phân tích'!$A$137</c:f>
              <c:strCache>
                <c:ptCount val="1"/>
                <c:pt idx="0">
                  <c:v>Doanh thu hòa vốn</c:v>
                </c:pt>
              </c:strCache>
            </c:strRef>
          </c:tx>
          <c:val>
            <c:numRef>
              <c:f>'Phân tích'!$B$137:$G$137</c:f>
              <c:numCache>
                <c:formatCode>_-* #,##0_-;\-* #,##0_-;_-* "-"??_-;_-@_-</c:formatCode>
                <c:ptCount val="6"/>
                <c:pt idx="0">
                  <c:v>2152.3276381909545</c:v>
                </c:pt>
                <c:pt idx="1">
                  <c:v>1961.1659454818623</c:v>
                </c:pt>
                <c:pt idx="2">
                  <c:v>1816.8838530421908</c:v>
                </c:pt>
                <c:pt idx="3">
                  <c:v>1705.9240425175808</c:v>
                </c:pt>
                <c:pt idx="4">
                  <c:v>1619.6337046077438</c:v>
                </c:pt>
                <c:pt idx="5">
                  <c:v>1552.2406484052092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9-4916-88DD-FAC7C88B7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536024"/>
        <c:axId val="2117537432"/>
      </c:lineChart>
      <c:catAx>
        <c:axId val="2117536024"/>
        <c:scaling>
          <c:orientation val="minMax"/>
        </c:scaling>
        <c:delete val="0"/>
        <c:axPos val="b"/>
        <c:majorTickMark val="out"/>
        <c:minorTickMark val="none"/>
        <c:tickLblPos val="nextTo"/>
        <c:crossAx val="2117537432"/>
        <c:crosses val="autoZero"/>
        <c:auto val="1"/>
        <c:lblAlgn val="ctr"/>
        <c:lblOffset val="100"/>
        <c:noMultiLvlLbl val="0"/>
      </c:catAx>
      <c:valAx>
        <c:axId val="2117537432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2117536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1011765</xdr:colOff>
      <xdr:row>139</xdr:row>
      <xdr:rowOff>21166</xdr:rowOff>
    </xdr:from>
    <xdr:to>
      <xdr:col>5</xdr:col>
      <xdr:colOff>804333</xdr:colOff>
      <xdr:row>152</xdr:row>
      <xdr:rowOff>122766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G18"/>
  <sheetViews>
    <sheetView showGridLines="0" tabSelected="1" workbookViewId="0">
      <selection activeCell="D31" sqref="D31"/>
    </sheetView>
  </sheetViews>
  <sheetFormatPr defaultRowHeight="16.5" outlineLevelRow="1" outlineLevelCol="1" x14ac:dyDescent="0.25"/>
  <cols>
    <col min="3" max="3" width="6.33203125" customWidth="1"/>
    <col min="4" max="7" width="12.88671875" bestFit="1" customWidth="1" outlineLevel="1"/>
  </cols>
  <sheetData>
    <row r="1" spans="2:7" ht="17.25" thickBot="1" x14ac:dyDescent="0.3"/>
    <row r="2" spans="2:7" ht="18" x14ac:dyDescent="0.25">
      <c r="B2" s="144" t="s">
        <v>131</v>
      </c>
      <c r="C2" s="144"/>
      <c r="D2" s="149"/>
      <c r="E2" s="149"/>
      <c r="F2" s="149"/>
      <c r="G2" s="149"/>
    </row>
    <row r="3" spans="2:7" ht="18" collapsed="1" x14ac:dyDescent="0.25">
      <c r="B3" s="143"/>
      <c r="C3" s="143"/>
      <c r="D3" s="150" t="s">
        <v>133</v>
      </c>
      <c r="E3" s="150" t="s">
        <v>109</v>
      </c>
      <c r="F3" s="150" t="s">
        <v>110</v>
      </c>
      <c r="G3" s="150" t="s">
        <v>111</v>
      </c>
    </row>
    <row r="4" spans="2:7" ht="78.75" hidden="1" outlineLevel="1" x14ac:dyDescent="0.25">
      <c r="B4" s="146"/>
      <c r="C4" s="146"/>
      <c r="D4" s="134"/>
      <c r="E4" s="157" t="s">
        <v>139</v>
      </c>
      <c r="F4" s="157" t="s">
        <v>139</v>
      </c>
      <c r="G4" s="157" t="s">
        <v>140</v>
      </c>
    </row>
    <row r="5" spans="2:7" x14ac:dyDescent="0.25">
      <c r="B5" s="147" t="s">
        <v>132</v>
      </c>
      <c r="C5" s="147"/>
      <c r="D5" s="145"/>
      <c r="E5" s="145"/>
      <c r="F5" s="145"/>
      <c r="G5" s="145"/>
    </row>
    <row r="6" spans="2:7" outlineLevel="1" x14ac:dyDescent="0.25">
      <c r="B6" s="146"/>
      <c r="C6" s="146" t="s">
        <v>122</v>
      </c>
      <c r="D6" s="135">
        <v>250</v>
      </c>
      <c r="E6" s="151">
        <v>280</v>
      </c>
      <c r="F6" s="151">
        <v>250</v>
      </c>
      <c r="G6" s="151">
        <v>300</v>
      </c>
    </row>
    <row r="7" spans="2:7" outlineLevel="1" x14ac:dyDescent="0.25">
      <c r="B7" s="146"/>
      <c r="C7" s="146" t="s">
        <v>123</v>
      </c>
      <c r="D7" s="136">
        <v>500</v>
      </c>
      <c r="E7" s="152">
        <v>400</v>
      </c>
      <c r="F7" s="152">
        <v>600</v>
      </c>
      <c r="G7" s="152">
        <v>800</v>
      </c>
    </row>
    <row r="8" spans="2:7" outlineLevel="1" x14ac:dyDescent="0.25">
      <c r="B8" s="146"/>
      <c r="C8" s="146" t="s">
        <v>124</v>
      </c>
      <c r="D8" s="137">
        <v>0.03</v>
      </c>
      <c r="E8" s="153">
        <v>0.02</v>
      </c>
      <c r="F8" s="153">
        <v>0.05</v>
      </c>
      <c r="G8" s="153">
        <v>0.06</v>
      </c>
    </row>
    <row r="9" spans="2:7" outlineLevel="1" x14ac:dyDescent="0.25">
      <c r="B9" s="146"/>
      <c r="C9" s="146" t="s">
        <v>125</v>
      </c>
      <c r="D9" s="138">
        <v>7.5</v>
      </c>
      <c r="E9" s="154">
        <v>7</v>
      </c>
      <c r="F9" s="154">
        <v>9</v>
      </c>
      <c r="G9" s="154">
        <v>7.5</v>
      </c>
    </row>
    <row r="10" spans="2:7" outlineLevel="1" x14ac:dyDescent="0.25">
      <c r="B10" s="146"/>
      <c r="C10" s="146" t="s">
        <v>126</v>
      </c>
      <c r="D10" s="139">
        <v>3.2</v>
      </c>
      <c r="E10" s="155">
        <v>3.1</v>
      </c>
      <c r="F10" s="155">
        <v>3.3</v>
      </c>
      <c r="G10" s="155">
        <v>3.35</v>
      </c>
    </row>
    <row r="11" spans="2:7" outlineLevel="1" x14ac:dyDescent="0.25">
      <c r="B11" s="146"/>
      <c r="C11" s="146" t="s">
        <v>127</v>
      </c>
      <c r="D11" s="139">
        <v>1.8</v>
      </c>
      <c r="E11" s="155">
        <v>2</v>
      </c>
      <c r="F11" s="155">
        <v>1.9</v>
      </c>
      <c r="G11" s="155">
        <v>2.1</v>
      </c>
    </row>
    <row r="12" spans="2:7" outlineLevel="1" x14ac:dyDescent="0.25">
      <c r="B12" s="146"/>
      <c r="C12" s="146" t="s">
        <v>128</v>
      </c>
      <c r="D12" s="140">
        <v>424</v>
      </c>
      <c r="E12" s="156">
        <v>380</v>
      </c>
      <c r="F12" s="156">
        <v>700</v>
      </c>
      <c r="G12" s="156">
        <v>800</v>
      </c>
    </row>
    <row r="13" spans="2:7" x14ac:dyDescent="0.25">
      <c r="B13" s="147" t="s">
        <v>134</v>
      </c>
      <c r="C13" s="147"/>
      <c r="D13" s="145"/>
      <c r="E13" s="145"/>
      <c r="F13" s="145"/>
      <c r="G13" s="145"/>
    </row>
    <row r="14" spans="2:7" outlineLevel="1" x14ac:dyDescent="0.25">
      <c r="B14" s="146"/>
      <c r="C14" s="146" t="s">
        <v>129</v>
      </c>
      <c r="D14" s="141">
        <v>2013.3719060483099</v>
      </c>
      <c r="E14" s="141">
        <v>545.01909133031097</v>
      </c>
      <c r="F14" s="141">
        <v>4247.8715917052496</v>
      </c>
      <c r="G14" s="141">
        <v>1726.82800721233</v>
      </c>
    </row>
    <row r="15" spans="2:7" ht="17.25" outlineLevel="1" thickBot="1" x14ac:dyDescent="0.3">
      <c r="B15" s="148"/>
      <c r="C15" s="148" t="s">
        <v>130</v>
      </c>
      <c r="D15" s="142">
        <v>0.54057749140293399</v>
      </c>
      <c r="E15" s="142">
        <v>0.262683526933084</v>
      </c>
      <c r="F15" s="142">
        <v>0.96612579730047998</v>
      </c>
      <c r="G15" s="142">
        <v>0.44712585921471598</v>
      </c>
    </row>
    <row r="16" spans="2:7" x14ac:dyDescent="0.25">
      <c r="B16" t="s">
        <v>135</v>
      </c>
    </row>
    <row r="17" spans="2:2" x14ac:dyDescent="0.25">
      <c r="B17" t="s">
        <v>136</v>
      </c>
    </row>
    <row r="18" spans="2:2" x14ac:dyDescent="0.25">
      <c r="B18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0"/>
  <sheetViews>
    <sheetView topLeftCell="A150" zoomScale="115" zoomScaleNormal="115" zoomScalePageLayoutView="150" workbookViewId="0">
      <selection activeCell="G172" sqref="G172"/>
    </sheetView>
  </sheetViews>
  <sheetFormatPr defaultColWidth="8.6640625" defaultRowHeight="16.5" x14ac:dyDescent="0.25"/>
  <cols>
    <col min="1" max="1" width="31.109375" customWidth="1"/>
    <col min="2" max="2" width="16.44140625" customWidth="1"/>
    <col min="3" max="3" width="10.109375" bestFit="1" customWidth="1"/>
    <col min="4" max="7" width="10" bestFit="1" customWidth="1"/>
    <col min="8" max="9" width="9.88671875" bestFit="1" customWidth="1"/>
    <col min="14" max="14" width="8.77734375" bestFit="1" customWidth="1"/>
  </cols>
  <sheetData>
    <row r="1" spans="1:13" ht="36.75" customHeight="1" x14ac:dyDescent="0.25">
      <c r="A1" s="126" t="s">
        <v>0</v>
      </c>
      <c r="B1" s="126"/>
      <c r="C1" s="126"/>
      <c r="D1" s="126"/>
      <c r="E1" s="126"/>
      <c r="F1" s="126"/>
      <c r="G1" s="126"/>
    </row>
    <row r="2" spans="1:13" ht="22.5" customHeight="1" x14ac:dyDescent="0.3">
      <c r="A2" s="127" t="s">
        <v>138</v>
      </c>
      <c r="B2" s="127"/>
      <c r="C2" s="127"/>
      <c r="D2" s="127"/>
      <c r="E2" s="127"/>
      <c r="F2" s="127"/>
      <c r="G2" s="127"/>
    </row>
    <row r="3" spans="1:13" s="1" customFormat="1" ht="23.25" customHeight="1" thickBot="1" x14ac:dyDescent="0.3">
      <c r="A3" s="120" t="s">
        <v>1</v>
      </c>
      <c r="H3"/>
      <c r="I3"/>
      <c r="J3"/>
      <c r="K3"/>
      <c r="L3"/>
      <c r="M3"/>
    </row>
    <row r="4" spans="1:13" s="1" customFormat="1" x14ac:dyDescent="0.25">
      <c r="A4" s="122" t="s">
        <v>2</v>
      </c>
      <c r="B4" s="121">
        <f>B5+B10</f>
        <v>1840</v>
      </c>
      <c r="C4" s="12" t="s">
        <v>6</v>
      </c>
      <c r="D4" s="12"/>
      <c r="E4" s="12"/>
      <c r="F4" s="12"/>
      <c r="G4" s="12"/>
      <c r="H4" s="13"/>
      <c r="I4"/>
      <c r="J4"/>
      <c r="K4"/>
      <c r="L4"/>
      <c r="M4"/>
    </row>
    <row r="5" spans="1:13" x14ac:dyDescent="0.25">
      <c r="A5" s="14" t="s">
        <v>3</v>
      </c>
      <c r="B5" s="15">
        <f>SUM(B6:B9)</f>
        <v>640</v>
      </c>
      <c r="C5" s="16" t="s">
        <v>6</v>
      </c>
      <c r="D5" s="16"/>
      <c r="E5" s="16"/>
      <c r="F5" s="16"/>
      <c r="G5" s="16"/>
      <c r="H5" s="17"/>
    </row>
    <row r="6" spans="1:13" s="3" customFormat="1" x14ac:dyDescent="0.25">
      <c r="A6" s="18" t="s">
        <v>4</v>
      </c>
      <c r="B6" s="19">
        <v>80</v>
      </c>
      <c r="C6" s="20" t="s">
        <v>6</v>
      </c>
      <c r="D6" s="20"/>
      <c r="E6" s="20"/>
      <c r="F6" s="20"/>
      <c r="G6" s="20"/>
      <c r="H6" s="21"/>
      <c r="I6"/>
      <c r="J6"/>
      <c r="K6"/>
      <c r="L6"/>
      <c r="M6"/>
    </row>
    <row r="7" spans="1:13" s="3" customFormat="1" x14ac:dyDescent="0.25">
      <c r="A7" s="18" t="s">
        <v>5</v>
      </c>
      <c r="B7" s="71">
        <v>250</v>
      </c>
      <c r="C7" s="20" t="s">
        <v>6</v>
      </c>
      <c r="D7" s="20"/>
      <c r="E7" s="20"/>
      <c r="F7" s="20"/>
      <c r="G7" s="20"/>
      <c r="H7" s="21"/>
      <c r="I7"/>
      <c r="J7"/>
      <c r="K7"/>
      <c r="L7"/>
      <c r="M7"/>
    </row>
    <row r="8" spans="1:13" s="3" customFormat="1" x14ac:dyDescent="0.25">
      <c r="A8" s="18" t="s">
        <v>7</v>
      </c>
      <c r="B8" s="19">
        <v>300</v>
      </c>
      <c r="C8" s="20" t="s">
        <v>6</v>
      </c>
      <c r="D8" s="20"/>
      <c r="E8" s="20"/>
      <c r="F8" s="20"/>
      <c r="G8" s="20"/>
      <c r="H8" s="21"/>
      <c r="I8"/>
      <c r="J8"/>
      <c r="K8"/>
      <c r="L8"/>
      <c r="M8"/>
    </row>
    <row r="9" spans="1:13" s="3" customFormat="1" x14ac:dyDescent="0.25">
      <c r="A9" s="18" t="s">
        <v>8</v>
      </c>
      <c r="B9" s="19">
        <v>10</v>
      </c>
      <c r="C9" s="20" t="s">
        <v>6</v>
      </c>
      <c r="D9" s="20"/>
      <c r="E9" s="20"/>
      <c r="F9" s="20"/>
      <c r="G9" s="20"/>
      <c r="H9" s="21"/>
      <c r="I9"/>
      <c r="J9"/>
      <c r="K9"/>
      <c r="L9"/>
      <c r="M9"/>
    </row>
    <row r="10" spans="1:13" x14ac:dyDescent="0.25">
      <c r="A10" s="14" t="s">
        <v>9</v>
      </c>
      <c r="B10" s="15">
        <v>1200</v>
      </c>
      <c r="C10" s="16" t="s">
        <v>6</v>
      </c>
      <c r="D10" s="16"/>
      <c r="E10" s="16"/>
      <c r="F10" s="16"/>
      <c r="G10" s="16"/>
      <c r="H10" s="17"/>
    </row>
    <row r="11" spans="1:13" x14ac:dyDescent="0.25">
      <c r="A11" s="123" t="s">
        <v>10</v>
      </c>
      <c r="B11" s="16"/>
      <c r="C11" s="16"/>
      <c r="D11" s="16"/>
      <c r="E11" s="16"/>
      <c r="F11" s="16"/>
      <c r="G11" s="16"/>
      <c r="H11" s="17"/>
    </row>
    <row r="12" spans="1:13" x14ac:dyDescent="0.25">
      <c r="A12" s="18" t="s">
        <v>117</v>
      </c>
      <c r="B12" s="22">
        <v>0.6</v>
      </c>
      <c r="C12" s="16" t="s">
        <v>11</v>
      </c>
      <c r="D12" s="16"/>
      <c r="E12" s="16"/>
      <c r="F12" s="16"/>
      <c r="G12" s="16"/>
      <c r="H12" s="17"/>
    </row>
    <row r="13" spans="1:13" x14ac:dyDescent="0.25">
      <c r="A13" s="28" t="s">
        <v>115</v>
      </c>
      <c r="B13" s="29">
        <v>0.16</v>
      </c>
      <c r="C13" s="44"/>
      <c r="D13" s="16"/>
      <c r="E13" s="22"/>
      <c r="F13" s="16"/>
      <c r="G13" s="16"/>
      <c r="H13" s="17"/>
    </row>
    <row r="14" spans="1:13" x14ac:dyDescent="0.25">
      <c r="A14" s="18" t="s">
        <v>118</v>
      </c>
      <c r="B14" s="22">
        <v>0.4</v>
      </c>
      <c r="C14" s="16" t="str">
        <f>C12</f>
        <v>CP đầu tư</v>
      </c>
      <c r="D14" s="16"/>
      <c r="E14" s="16"/>
      <c r="F14" s="16"/>
      <c r="G14" s="16"/>
      <c r="H14" s="17"/>
    </row>
    <row r="15" spans="1:13" x14ac:dyDescent="0.25">
      <c r="A15" s="18" t="s">
        <v>116</v>
      </c>
      <c r="B15" s="22">
        <v>0.1</v>
      </c>
      <c r="C15" s="16"/>
      <c r="D15" s="16"/>
      <c r="E15" s="16"/>
      <c r="F15" s="16"/>
      <c r="G15" s="16"/>
      <c r="H15" s="17"/>
    </row>
    <row r="16" spans="1:13" x14ac:dyDescent="0.25">
      <c r="A16" s="123" t="s">
        <v>12</v>
      </c>
      <c r="B16" s="23">
        <v>6</v>
      </c>
      <c r="C16" s="24" t="s">
        <v>13</v>
      </c>
      <c r="D16" s="16"/>
      <c r="E16" s="16"/>
      <c r="F16" s="16"/>
      <c r="G16" s="16"/>
      <c r="H16" s="17"/>
    </row>
    <row r="17" spans="1:8" x14ac:dyDescent="0.25">
      <c r="A17" s="123" t="s">
        <v>14</v>
      </c>
      <c r="B17" s="23">
        <v>6</v>
      </c>
      <c r="C17" s="24" t="s">
        <v>13</v>
      </c>
      <c r="D17" s="16"/>
      <c r="E17" s="16"/>
      <c r="F17" s="16"/>
      <c r="G17" s="16"/>
      <c r="H17" s="17"/>
    </row>
    <row r="18" spans="1:8" x14ac:dyDescent="0.25">
      <c r="A18" s="123" t="s">
        <v>15</v>
      </c>
      <c r="B18" s="16"/>
      <c r="C18" s="16"/>
      <c r="D18" s="16"/>
      <c r="E18" s="16"/>
      <c r="F18" s="16"/>
      <c r="G18" s="16"/>
      <c r="H18" s="17"/>
    </row>
    <row r="19" spans="1:8" ht="17.25" thickBot="1" x14ac:dyDescent="0.3">
      <c r="A19" s="25" t="s">
        <v>16</v>
      </c>
      <c r="B19" s="6"/>
      <c r="C19" s="6">
        <v>1</v>
      </c>
      <c r="D19" s="6">
        <v>2</v>
      </c>
      <c r="E19" s="6">
        <v>3</v>
      </c>
      <c r="F19" s="6">
        <v>4</v>
      </c>
      <c r="G19" s="6">
        <v>5</v>
      </c>
      <c r="H19" s="26">
        <v>6</v>
      </c>
    </row>
    <row r="20" spans="1:8" x14ac:dyDescent="0.25">
      <c r="A20" s="18" t="s">
        <v>17</v>
      </c>
      <c r="B20" s="27">
        <v>500</v>
      </c>
      <c r="C20" s="15">
        <f>$B$20*(1-$B$21)</f>
        <v>485</v>
      </c>
      <c r="D20" s="15">
        <f t="shared" ref="D20:H20" si="0">$B$20*(1-$B$21)</f>
        <v>485</v>
      </c>
      <c r="E20" s="15">
        <f t="shared" si="0"/>
        <v>485</v>
      </c>
      <c r="F20" s="15">
        <f t="shared" si="0"/>
        <v>485</v>
      </c>
      <c r="G20" s="15">
        <f t="shared" si="0"/>
        <v>485</v>
      </c>
      <c r="H20" s="15">
        <f t="shared" si="0"/>
        <v>485</v>
      </c>
    </row>
    <row r="21" spans="1:8" s="4" customFormat="1" x14ac:dyDescent="0.25">
      <c r="A21" s="28" t="s">
        <v>18</v>
      </c>
      <c r="B21" s="73">
        <v>0.03</v>
      </c>
      <c r="C21" s="30"/>
      <c r="D21" s="30"/>
      <c r="E21" s="30"/>
      <c r="F21" s="30"/>
      <c r="G21" s="30"/>
      <c r="H21" s="30"/>
    </row>
    <row r="22" spans="1:8" x14ac:dyDescent="0.25">
      <c r="A22" s="18" t="s">
        <v>19</v>
      </c>
      <c r="B22" s="72">
        <v>7.5</v>
      </c>
      <c r="C22" s="31">
        <f>B22*(1+$B$23)</f>
        <v>7.875</v>
      </c>
      <c r="D22" s="31">
        <f t="shared" ref="D22:H22" si="1">C22*(1+$B$23)</f>
        <v>8.2687500000000007</v>
      </c>
      <c r="E22" s="31">
        <f t="shared" si="1"/>
        <v>8.6821875000000013</v>
      </c>
      <c r="F22" s="31">
        <f t="shared" si="1"/>
        <v>9.1162968750000015</v>
      </c>
      <c r="G22" s="31">
        <f t="shared" si="1"/>
        <v>9.5721117187500013</v>
      </c>
      <c r="H22" s="31">
        <f t="shared" si="1"/>
        <v>10.050717304687502</v>
      </c>
    </row>
    <row r="23" spans="1:8" s="4" customFormat="1" x14ac:dyDescent="0.25">
      <c r="A23" s="28" t="s">
        <v>20</v>
      </c>
      <c r="B23" s="29">
        <v>0.05</v>
      </c>
      <c r="C23" s="30"/>
      <c r="D23" s="30"/>
      <c r="E23" s="30"/>
      <c r="F23" s="30"/>
      <c r="G23" s="30"/>
      <c r="H23" s="30"/>
    </row>
    <row r="24" spans="1:8" x14ac:dyDescent="0.25">
      <c r="A24" s="129" t="s">
        <v>21</v>
      </c>
      <c r="B24" s="130"/>
      <c r="C24" s="128">
        <f>C20*C22</f>
        <v>3819.375</v>
      </c>
      <c r="D24" s="128">
        <f t="shared" ref="D24:G24" si="2">D20*D22</f>
        <v>4010.3437500000005</v>
      </c>
      <c r="E24" s="128">
        <f t="shared" si="2"/>
        <v>4210.8609375000005</v>
      </c>
      <c r="F24" s="128">
        <f t="shared" si="2"/>
        <v>4421.4039843750006</v>
      </c>
      <c r="G24" s="128">
        <f t="shared" si="2"/>
        <v>4642.4741835937502</v>
      </c>
      <c r="H24" s="128">
        <f t="shared" ref="H24" si="3">H20*H22</f>
        <v>4874.5978927734386</v>
      </c>
    </row>
    <row r="25" spans="1:8" x14ac:dyDescent="0.25">
      <c r="A25" s="123" t="s">
        <v>22</v>
      </c>
      <c r="B25" s="16"/>
      <c r="C25" s="16"/>
      <c r="D25" s="16"/>
      <c r="E25" s="16"/>
      <c r="F25" s="16"/>
      <c r="G25" s="16"/>
      <c r="H25" s="16"/>
    </row>
    <row r="26" spans="1:8" x14ac:dyDescent="0.25">
      <c r="A26" s="131" t="s">
        <v>16</v>
      </c>
      <c r="B26" s="53"/>
      <c r="C26" s="53">
        <v>1</v>
      </c>
      <c r="D26" s="53">
        <v>2</v>
      </c>
      <c r="E26" s="53">
        <v>3</v>
      </c>
      <c r="F26" s="53">
        <v>4</v>
      </c>
      <c r="G26" s="53">
        <v>5</v>
      </c>
      <c r="H26" s="53">
        <v>6</v>
      </c>
    </row>
    <row r="27" spans="1:8" s="1" customFormat="1" x14ac:dyDescent="0.25">
      <c r="A27" s="14" t="s">
        <v>23</v>
      </c>
      <c r="B27" s="33">
        <f>SUM(B28:B32)</f>
        <v>5.3999999999999995</v>
      </c>
      <c r="C27" s="34">
        <f>$B$27*$B$20</f>
        <v>2699.9999999999995</v>
      </c>
      <c r="D27" s="34">
        <f t="shared" ref="D27:H27" si="4">$B$27*$B$20</f>
        <v>2699.9999999999995</v>
      </c>
      <c r="E27" s="34">
        <f t="shared" si="4"/>
        <v>2699.9999999999995</v>
      </c>
      <c r="F27" s="34">
        <f t="shared" si="4"/>
        <v>2699.9999999999995</v>
      </c>
      <c r="G27" s="34">
        <f t="shared" si="4"/>
        <v>2699.9999999999995</v>
      </c>
      <c r="H27" s="34">
        <f t="shared" si="4"/>
        <v>2699.9999999999995</v>
      </c>
    </row>
    <row r="28" spans="1:8" s="4" customFormat="1" x14ac:dyDescent="0.25">
      <c r="A28" s="28" t="s">
        <v>25</v>
      </c>
      <c r="B28" s="35">
        <v>3.2</v>
      </c>
      <c r="C28" s="30"/>
      <c r="D28" s="30"/>
      <c r="E28" s="30"/>
      <c r="F28" s="30"/>
      <c r="G28" s="30"/>
      <c r="H28" s="30"/>
    </row>
    <row r="29" spans="1:8" s="4" customFormat="1" x14ac:dyDescent="0.25">
      <c r="A29" s="28" t="s">
        <v>24</v>
      </c>
      <c r="B29" s="58">
        <v>1.8</v>
      </c>
      <c r="C29" s="30"/>
      <c r="D29" s="30">
        <f>B27*300</f>
        <v>1619.9999999999998</v>
      </c>
      <c r="E29" s="30"/>
      <c r="F29" s="30"/>
      <c r="G29" s="30"/>
      <c r="H29" s="30"/>
    </row>
    <row r="30" spans="1:8" s="4" customFormat="1" x14ac:dyDescent="0.25">
      <c r="A30" s="28" t="s">
        <v>26</v>
      </c>
      <c r="B30" s="35">
        <v>0.2</v>
      </c>
      <c r="C30" s="30"/>
      <c r="D30" s="30"/>
      <c r="E30" s="30"/>
      <c r="F30" s="30"/>
      <c r="G30" s="30"/>
      <c r="H30" s="30"/>
    </row>
    <row r="31" spans="1:8" s="4" customFormat="1" x14ac:dyDescent="0.25">
      <c r="A31" s="28" t="s">
        <v>27</v>
      </c>
      <c r="B31" s="35">
        <v>0.1</v>
      </c>
      <c r="C31" s="30"/>
      <c r="D31" s="30"/>
      <c r="E31" s="30"/>
      <c r="F31" s="30"/>
      <c r="G31" s="30"/>
      <c r="H31" s="30"/>
    </row>
    <row r="32" spans="1:8" s="4" customFormat="1" x14ac:dyDescent="0.25">
      <c r="A32" s="28" t="s">
        <v>28</v>
      </c>
      <c r="B32" s="35">
        <v>0.1</v>
      </c>
      <c r="C32" s="30"/>
      <c r="D32" s="30"/>
      <c r="E32" s="30"/>
      <c r="F32" s="30"/>
      <c r="G32" s="30"/>
      <c r="H32" s="30"/>
    </row>
    <row r="33" spans="1:8" s="1" customFormat="1" ht="17.25" thickBot="1" x14ac:dyDescent="0.3">
      <c r="A33" s="32" t="s">
        <v>29</v>
      </c>
      <c r="B33" s="74">
        <v>424</v>
      </c>
      <c r="C33" s="10">
        <f>B33*(1+$B$39)</f>
        <v>445.20000000000005</v>
      </c>
      <c r="D33" s="10">
        <f t="shared" ref="D33:H33" si="5">C33*(1+$B$39)</f>
        <v>467.46000000000009</v>
      </c>
      <c r="E33" s="10">
        <f t="shared" si="5"/>
        <v>490.83300000000014</v>
      </c>
      <c r="F33" s="132">
        <f t="shared" si="5"/>
        <v>515.3746500000002</v>
      </c>
      <c r="G33" s="132">
        <f t="shared" si="5"/>
        <v>541.14338250000026</v>
      </c>
      <c r="H33" s="132">
        <f t="shared" si="5"/>
        <v>568.20055162500034</v>
      </c>
    </row>
    <row r="34" spans="1:8" x14ac:dyDescent="0.25">
      <c r="A34" s="28" t="s">
        <v>30</v>
      </c>
      <c r="B34" s="36">
        <v>2</v>
      </c>
      <c r="C34" s="16"/>
      <c r="D34" s="16"/>
      <c r="E34" s="16"/>
      <c r="F34" s="16"/>
      <c r="G34" s="16"/>
      <c r="H34" s="16"/>
    </row>
    <row r="35" spans="1:8" x14ac:dyDescent="0.25">
      <c r="A35" s="28" t="s">
        <v>31</v>
      </c>
      <c r="B35" s="36">
        <v>12</v>
      </c>
      <c r="C35" s="16"/>
      <c r="D35" s="16"/>
      <c r="E35" s="16"/>
      <c r="F35" s="16"/>
      <c r="G35" s="16"/>
      <c r="H35" s="16"/>
    </row>
    <row r="36" spans="1:8" x14ac:dyDescent="0.25">
      <c r="A36" s="28" t="s">
        <v>32</v>
      </c>
      <c r="B36" s="36">
        <v>60</v>
      </c>
      <c r="C36" s="16"/>
      <c r="D36" s="16"/>
      <c r="E36" s="16"/>
      <c r="F36" s="16"/>
      <c r="G36" s="16"/>
      <c r="H36" s="16"/>
    </row>
    <row r="37" spans="1:8" x14ac:dyDescent="0.25">
      <c r="A37" s="28" t="s">
        <v>33</v>
      </c>
      <c r="B37" s="36">
        <v>300</v>
      </c>
      <c r="C37" s="16"/>
      <c r="D37" s="16"/>
      <c r="E37" s="16"/>
      <c r="F37" s="16"/>
      <c r="G37" s="16"/>
      <c r="H37" s="16"/>
    </row>
    <row r="38" spans="1:8" x14ac:dyDescent="0.25">
      <c r="A38" s="28" t="s">
        <v>34</v>
      </c>
      <c r="B38" s="36">
        <v>50</v>
      </c>
      <c r="C38" s="16"/>
      <c r="D38" s="16"/>
      <c r="E38" s="16"/>
      <c r="F38" s="16"/>
      <c r="G38" s="16"/>
      <c r="H38" s="16"/>
    </row>
    <row r="39" spans="1:8" x14ac:dyDescent="0.25">
      <c r="A39" s="28" t="s">
        <v>35</v>
      </c>
      <c r="B39" s="37">
        <v>0.05</v>
      </c>
      <c r="C39" s="16"/>
      <c r="D39" s="16"/>
      <c r="E39" s="16"/>
      <c r="F39" s="16"/>
      <c r="G39" s="16"/>
      <c r="H39" s="16"/>
    </row>
    <row r="40" spans="1:8" ht="17.25" thickBot="1" x14ac:dyDescent="0.3">
      <c r="A40" s="32" t="s">
        <v>36</v>
      </c>
      <c r="B40" s="8"/>
      <c r="C40" s="9">
        <f>C27+C33</f>
        <v>3145.2</v>
      </c>
      <c r="D40" s="9">
        <f t="shared" ref="D40:G40" si="6">D27+D33</f>
        <v>3167.4599999999996</v>
      </c>
      <c r="E40" s="9">
        <f t="shared" si="6"/>
        <v>3190.8329999999996</v>
      </c>
      <c r="F40" s="9">
        <f t="shared" si="6"/>
        <v>3215.3746499999997</v>
      </c>
      <c r="G40" s="128">
        <f t="shared" si="6"/>
        <v>3241.1433824999999</v>
      </c>
      <c r="H40" s="128">
        <f t="shared" ref="H40" si="7">H27+H33</f>
        <v>3268.2005516250001</v>
      </c>
    </row>
    <row r="41" spans="1:8" s="3" customFormat="1" x14ac:dyDescent="0.25">
      <c r="A41" s="124" t="s">
        <v>37</v>
      </c>
      <c r="B41" s="99">
        <v>0.2</v>
      </c>
      <c r="C41" s="20"/>
      <c r="D41" s="20"/>
      <c r="E41" s="20"/>
      <c r="F41" s="20"/>
      <c r="G41" s="20"/>
      <c r="H41" s="20"/>
    </row>
    <row r="42" spans="1:8" s="3" customFormat="1" x14ac:dyDescent="0.25">
      <c r="A42" s="124" t="s">
        <v>38</v>
      </c>
      <c r="B42" s="20"/>
      <c r="C42" s="20"/>
      <c r="D42" s="20"/>
      <c r="E42" s="20"/>
      <c r="F42" s="20"/>
      <c r="G42" s="20"/>
      <c r="H42" s="20"/>
    </row>
    <row r="43" spans="1:8" x14ac:dyDescent="0.25">
      <c r="A43" s="28" t="s">
        <v>39</v>
      </c>
      <c r="B43" s="38">
        <f>B6</f>
        <v>80</v>
      </c>
      <c r="C43" s="16"/>
      <c r="D43" s="16"/>
      <c r="E43" s="16"/>
      <c r="F43" s="16"/>
      <c r="G43" s="16"/>
      <c r="H43" s="16"/>
    </row>
    <row r="44" spans="1:8" x14ac:dyDescent="0.25">
      <c r="A44" s="28" t="s">
        <v>40</v>
      </c>
      <c r="B44" s="16">
        <v>50</v>
      </c>
      <c r="C44" s="16"/>
      <c r="D44" s="16"/>
      <c r="E44" s="16"/>
      <c r="F44" s="16"/>
      <c r="G44" s="16"/>
      <c r="H44" s="16"/>
    </row>
    <row r="45" spans="1:8" x14ac:dyDescent="0.25">
      <c r="A45" s="28" t="s">
        <v>41</v>
      </c>
      <c r="B45" s="38">
        <f>B10</f>
        <v>1200</v>
      </c>
      <c r="C45" s="16"/>
      <c r="D45" s="16"/>
      <c r="E45" s="16"/>
      <c r="F45" s="16"/>
      <c r="G45" s="16"/>
      <c r="H45" s="16"/>
    </row>
    <row r="46" spans="1:8" x14ac:dyDescent="0.25">
      <c r="A46" s="125" t="s">
        <v>119</v>
      </c>
      <c r="B46" s="38"/>
      <c r="C46" s="16"/>
      <c r="D46" s="16"/>
      <c r="E46" s="16"/>
      <c r="F46" s="16"/>
      <c r="G46" s="16"/>
      <c r="H46" s="16"/>
    </row>
    <row r="47" spans="1:8" x14ac:dyDescent="0.25">
      <c r="A47" s="28" t="s">
        <v>120</v>
      </c>
      <c r="B47" s="100">
        <f>B13</f>
        <v>0.16</v>
      </c>
      <c r="C47" s="16"/>
      <c r="D47" s="16"/>
      <c r="E47" s="16"/>
      <c r="F47" s="16"/>
      <c r="G47" s="16"/>
      <c r="H47" s="16"/>
    </row>
    <row r="48" spans="1:8" ht="17.25" thickBot="1" x14ac:dyDescent="0.3">
      <c r="A48" s="39" t="s">
        <v>121</v>
      </c>
      <c r="B48" s="101">
        <f>B12*B13+B14*B15</f>
        <v>0.13600000000000001</v>
      </c>
      <c r="C48" s="40"/>
      <c r="D48" s="40"/>
      <c r="E48" s="40"/>
      <c r="F48" s="40"/>
      <c r="G48" s="40"/>
      <c r="H48" s="40"/>
    </row>
    <row r="49" spans="1:8" ht="24" customHeight="1" x14ac:dyDescent="0.25">
      <c r="A49" s="120" t="s">
        <v>42</v>
      </c>
    </row>
    <row r="50" spans="1:8" x14ac:dyDescent="0.25">
      <c r="A50" s="42" t="s">
        <v>43</v>
      </c>
    </row>
    <row r="51" spans="1:8" ht="17.25" thickBot="1" x14ac:dyDescent="0.3">
      <c r="A51" s="6" t="s">
        <v>16</v>
      </c>
      <c r="B51" s="6">
        <v>0</v>
      </c>
      <c r="C51" s="6">
        <v>1</v>
      </c>
      <c r="D51" s="6">
        <v>2</v>
      </c>
      <c r="E51" s="6">
        <v>3</v>
      </c>
      <c r="F51" s="6">
        <v>4</v>
      </c>
      <c r="G51" s="6">
        <v>5</v>
      </c>
      <c r="H51" s="6">
        <v>6</v>
      </c>
    </row>
    <row r="52" spans="1:8" x14ac:dyDescent="0.25">
      <c r="A52" t="s">
        <v>44</v>
      </c>
      <c r="C52" s="117">
        <f>B58</f>
        <v>736</v>
      </c>
      <c r="D52" s="117">
        <f>C58</f>
        <v>613.33333333333337</v>
      </c>
      <c r="E52" s="117">
        <f t="shared" ref="E52:H52" si="8">D58</f>
        <v>490.66666666666669</v>
      </c>
      <c r="F52" s="117">
        <f t="shared" si="8"/>
        <v>368</v>
      </c>
      <c r="G52" s="117">
        <f t="shared" si="8"/>
        <v>245.33333333333331</v>
      </c>
      <c r="H52" s="117">
        <f t="shared" si="8"/>
        <v>122.66666666666664</v>
      </c>
    </row>
    <row r="53" spans="1:8" x14ac:dyDescent="0.25">
      <c r="A53" t="s">
        <v>45</v>
      </c>
      <c r="C53" s="102">
        <f>C52*$B$15</f>
        <v>73.600000000000009</v>
      </c>
      <c r="D53" s="102">
        <f t="shared" ref="D53:G53" si="9">D52*$B$15</f>
        <v>61.333333333333343</v>
      </c>
      <c r="E53" s="102">
        <f t="shared" si="9"/>
        <v>49.06666666666667</v>
      </c>
      <c r="F53" s="102">
        <f t="shared" si="9"/>
        <v>36.800000000000004</v>
      </c>
      <c r="G53" s="102">
        <f t="shared" si="9"/>
        <v>24.533333333333331</v>
      </c>
      <c r="H53" s="102">
        <f t="shared" ref="H53" si="10">H52*$B$15</f>
        <v>12.266666666666666</v>
      </c>
    </row>
    <row r="54" spans="1:8" s="103" customFormat="1" x14ac:dyDescent="0.25">
      <c r="A54" s="103" t="s">
        <v>46</v>
      </c>
      <c r="C54" s="104">
        <f>C55+C56</f>
        <v>196.26666666666668</v>
      </c>
      <c r="D54" s="104">
        <f t="shared" ref="D54:G54" si="11">D55+D56</f>
        <v>184</v>
      </c>
      <c r="E54" s="104">
        <f t="shared" si="11"/>
        <v>171.73333333333335</v>
      </c>
      <c r="F54" s="104">
        <f t="shared" si="11"/>
        <v>159.46666666666667</v>
      </c>
      <c r="G54" s="104">
        <f t="shared" si="11"/>
        <v>147.19999999999999</v>
      </c>
      <c r="H54" s="104">
        <f t="shared" ref="H54" si="12">H55+H56</f>
        <v>134.93333333333334</v>
      </c>
    </row>
    <row r="55" spans="1:8" s="103" customFormat="1" x14ac:dyDescent="0.25">
      <c r="A55" s="103" t="s">
        <v>47</v>
      </c>
      <c r="C55" s="104">
        <f>$C$52/6</f>
        <v>122.66666666666667</v>
      </c>
      <c r="D55" s="104">
        <f t="shared" ref="D55:H55" si="13">$C$52/6</f>
        <v>122.66666666666667</v>
      </c>
      <c r="E55" s="104">
        <f t="shared" si="13"/>
        <v>122.66666666666667</v>
      </c>
      <c r="F55" s="104">
        <f t="shared" si="13"/>
        <v>122.66666666666667</v>
      </c>
      <c r="G55" s="104">
        <f t="shared" si="13"/>
        <v>122.66666666666667</v>
      </c>
      <c r="H55" s="104">
        <f t="shared" si="13"/>
        <v>122.66666666666667</v>
      </c>
    </row>
    <row r="56" spans="1:8" s="105" customFormat="1" x14ac:dyDescent="0.25">
      <c r="A56" s="105" t="s">
        <v>48</v>
      </c>
      <c r="C56" s="116">
        <f>C53</f>
        <v>73.600000000000009</v>
      </c>
      <c r="D56" s="116">
        <f t="shared" ref="D56:G56" si="14">D53</f>
        <v>61.333333333333343</v>
      </c>
      <c r="E56" s="116">
        <f t="shared" si="14"/>
        <v>49.06666666666667</v>
      </c>
      <c r="F56" s="116">
        <f t="shared" si="14"/>
        <v>36.800000000000004</v>
      </c>
      <c r="G56" s="116">
        <f t="shared" si="14"/>
        <v>24.533333333333331</v>
      </c>
      <c r="H56" s="116">
        <f t="shared" ref="H56" si="15">H53</f>
        <v>12.266666666666666</v>
      </c>
    </row>
    <row r="57" spans="1:8" x14ac:dyDescent="0.25">
      <c r="A57" t="s">
        <v>49</v>
      </c>
      <c r="C57" s="2"/>
      <c r="D57" s="2"/>
      <c r="E57" s="2"/>
      <c r="F57" s="2"/>
      <c r="G57" s="2"/>
      <c r="H57" s="2"/>
    </row>
    <row r="58" spans="1:8" x14ac:dyDescent="0.25">
      <c r="A58" s="43" t="s">
        <v>50</v>
      </c>
      <c r="B58" s="118">
        <f>B4*B14</f>
        <v>736</v>
      </c>
      <c r="C58" s="119">
        <f>C52-C55+C57</f>
        <v>613.33333333333337</v>
      </c>
      <c r="D58" s="119">
        <f t="shared" ref="D58:G58" si="16">D52-D55+D57</f>
        <v>490.66666666666669</v>
      </c>
      <c r="E58" s="119">
        <f t="shared" si="16"/>
        <v>368</v>
      </c>
      <c r="F58" s="119">
        <f t="shared" si="16"/>
        <v>245.33333333333331</v>
      </c>
      <c r="G58" s="119">
        <f t="shared" si="16"/>
        <v>122.66666666666664</v>
      </c>
      <c r="H58" s="119">
        <f t="shared" ref="H58" si="17">H52-H55+H57</f>
        <v>-2.8421709430404007E-14</v>
      </c>
    </row>
    <row r="59" spans="1:8" s="1" customFormat="1" x14ac:dyDescent="0.25">
      <c r="A59" s="47" t="s">
        <v>51</v>
      </c>
    </row>
    <row r="60" spans="1:8" ht="17.25" thickBot="1" x14ac:dyDescent="0.3">
      <c r="A60" s="6" t="s">
        <v>16</v>
      </c>
      <c r="B60" s="6">
        <v>0</v>
      </c>
      <c r="C60" s="6">
        <v>1</v>
      </c>
      <c r="D60" s="6">
        <v>2</v>
      </c>
      <c r="E60" s="6">
        <v>3</v>
      </c>
      <c r="F60" s="6">
        <v>4</v>
      </c>
      <c r="G60" s="6">
        <v>5</v>
      </c>
      <c r="H60" s="6">
        <v>6</v>
      </c>
    </row>
    <row r="61" spans="1:8" x14ac:dyDescent="0.25">
      <c r="A61" s="44" t="s">
        <v>21</v>
      </c>
      <c r="C61" s="5">
        <f>C24</f>
        <v>3819.375</v>
      </c>
      <c r="D61" s="5">
        <f t="shared" ref="D61:G61" si="18">D24</f>
        <v>4010.3437500000005</v>
      </c>
      <c r="E61" s="5">
        <f t="shared" si="18"/>
        <v>4210.8609375000005</v>
      </c>
      <c r="F61" s="5">
        <f t="shared" si="18"/>
        <v>4421.4039843750006</v>
      </c>
      <c r="G61" s="5">
        <f t="shared" si="18"/>
        <v>4642.4741835937502</v>
      </c>
      <c r="H61" s="5">
        <f t="shared" ref="H61" si="19">H24</f>
        <v>4874.5978927734386</v>
      </c>
    </row>
    <row r="62" spans="1:8" x14ac:dyDescent="0.25">
      <c r="A62" s="44" t="s">
        <v>52</v>
      </c>
      <c r="C62" s="5">
        <f>C27</f>
        <v>2699.9999999999995</v>
      </c>
      <c r="D62" s="5">
        <f t="shared" ref="D62:G62" si="20">D27</f>
        <v>2699.9999999999995</v>
      </c>
      <c r="E62" s="5">
        <f t="shared" si="20"/>
        <v>2699.9999999999995</v>
      </c>
      <c r="F62" s="5">
        <f t="shared" si="20"/>
        <v>2699.9999999999995</v>
      </c>
      <c r="G62" s="5">
        <f t="shared" si="20"/>
        <v>2699.9999999999995</v>
      </c>
      <c r="H62" s="5">
        <f t="shared" ref="H62" si="21">H27</f>
        <v>2699.9999999999995</v>
      </c>
    </row>
    <row r="63" spans="1:8" x14ac:dyDescent="0.25">
      <c r="A63" s="44" t="s">
        <v>53</v>
      </c>
      <c r="C63" s="5">
        <f>C33</f>
        <v>445.20000000000005</v>
      </c>
      <c r="D63" s="5">
        <f t="shared" ref="D63:G63" si="22">D33</f>
        <v>467.46000000000009</v>
      </c>
      <c r="E63" s="5">
        <f t="shared" si="22"/>
        <v>490.83300000000014</v>
      </c>
      <c r="F63" s="5">
        <f t="shared" si="22"/>
        <v>515.3746500000002</v>
      </c>
      <c r="G63" s="5">
        <f t="shared" si="22"/>
        <v>541.14338250000026</v>
      </c>
      <c r="H63" s="5">
        <f t="shared" ref="H63" si="23">H33</f>
        <v>568.20055162500034</v>
      </c>
    </row>
    <row r="64" spans="1:8" x14ac:dyDescent="0.25">
      <c r="A64" s="44" t="s">
        <v>54</v>
      </c>
      <c r="C64" s="5">
        <f>($B$7+$B$8+$B$9)/5</f>
        <v>112</v>
      </c>
      <c r="D64" s="5">
        <f t="shared" ref="D64:H64" si="24">($B$7+$B$8+$B$9)/5</f>
        <v>112</v>
      </c>
      <c r="E64" s="5">
        <f t="shared" si="24"/>
        <v>112</v>
      </c>
      <c r="F64" s="5">
        <f t="shared" si="24"/>
        <v>112</v>
      </c>
      <c r="G64" s="5">
        <f t="shared" si="24"/>
        <v>112</v>
      </c>
      <c r="H64" s="5">
        <f t="shared" si="24"/>
        <v>112</v>
      </c>
    </row>
    <row r="65" spans="1:8" x14ac:dyDescent="0.25">
      <c r="A65" s="44" t="s">
        <v>55</v>
      </c>
      <c r="C65" s="5">
        <f>C61-C62-C63-C64</f>
        <v>562.17500000000041</v>
      </c>
      <c r="D65" s="5">
        <f t="shared" ref="D65:G65" si="25">D61-D62-D63-D64</f>
        <v>730.88375000000087</v>
      </c>
      <c r="E65" s="5">
        <f t="shared" si="25"/>
        <v>908.02793750000092</v>
      </c>
      <c r="F65" s="5">
        <f t="shared" si="25"/>
        <v>1094.0293343750009</v>
      </c>
      <c r="G65" s="5">
        <f t="shared" si="25"/>
        <v>1289.3308010937503</v>
      </c>
      <c r="H65" s="5">
        <f t="shared" ref="H65" si="26">H61-H62-H63-H64</f>
        <v>1494.3973411484387</v>
      </c>
    </row>
    <row r="66" spans="1:8" x14ac:dyDescent="0.25">
      <c r="A66" s="44" t="s">
        <v>56</v>
      </c>
      <c r="C66" s="111">
        <f>C56</f>
        <v>73.600000000000009</v>
      </c>
      <c r="D66" s="111">
        <f t="shared" ref="D66:G66" si="27">D56</f>
        <v>61.333333333333343</v>
      </c>
      <c r="E66" s="111">
        <f t="shared" si="27"/>
        <v>49.06666666666667</v>
      </c>
      <c r="F66" s="111">
        <f t="shared" si="27"/>
        <v>36.800000000000004</v>
      </c>
      <c r="G66" s="111">
        <f t="shared" si="27"/>
        <v>24.533333333333331</v>
      </c>
      <c r="H66" s="111">
        <f t="shared" ref="H66" si="28">H56</f>
        <v>12.266666666666666</v>
      </c>
    </row>
    <row r="67" spans="1:8" x14ac:dyDescent="0.25">
      <c r="A67" s="44" t="s">
        <v>57</v>
      </c>
      <c r="C67" s="5">
        <f>C65-C66</f>
        <v>488.57500000000039</v>
      </c>
      <c r="D67" s="5">
        <f t="shared" ref="D67:G67" si="29">D65-D66</f>
        <v>669.5504166666675</v>
      </c>
      <c r="E67" s="5">
        <f t="shared" si="29"/>
        <v>858.9612708333342</v>
      </c>
      <c r="F67" s="5">
        <f t="shared" si="29"/>
        <v>1057.2293343750009</v>
      </c>
      <c r="G67" s="5">
        <f t="shared" si="29"/>
        <v>1264.797467760417</v>
      </c>
      <c r="H67" s="5">
        <f t="shared" ref="H67" si="30">H65-H66</f>
        <v>1482.1306744817721</v>
      </c>
    </row>
    <row r="68" spans="1:8" x14ac:dyDescent="0.25">
      <c r="A68" s="44" t="s">
        <v>58</v>
      </c>
      <c r="C68" s="45">
        <f>IF(C67&gt;0,C67*20%,0)</f>
        <v>97.715000000000089</v>
      </c>
      <c r="D68" s="45">
        <f t="shared" ref="D68:G68" si="31">IF(D67&gt;0,D67*20%,0)</f>
        <v>133.91008333333352</v>
      </c>
      <c r="E68" s="45">
        <f t="shared" si="31"/>
        <v>171.79225416666685</v>
      </c>
      <c r="F68" s="45">
        <f t="shared" si="31"/>
        <v>211.44586687500021</v>
      </c>
      <c r="G68" s="45">
        <f t="shared" si="31"/>
        <v>252.95949355208342</v>
      </c>
      <c r="H68" s="45">
        <f t="shared" ref="H68" si="32">IF(H67&gt;0,H67*20%,0)</f>
        <v>296.42613489635443</v>
      </c>
    </row>
    <row r="69" spans="1:8" s="3" customFormat="1" ht="17.25" thickBot="1" x14ac:dyDescent="0.3">
      <c r="A69" s="48" t="s">
        <v>59</v>
      </c>
      <c r="B69" s="49"/>
      <c r="C69" s="50">
        <f>C67-C68</f>
        <v>390.8600000000003</v>
      </c>
      <c r="D69" s="50">
        <f t="shared" ref="D69:G69" si="33">D67-D68</f>
        <v>535.64033333333396</v>
      </c>
      <c r="E69" s="50">
        <f t="shared" si="33"/>
        <v>687.1690166666674</v>
      </c>
      <c r="F69" s="50">
        <f t="shared" si="33"/>
        <v>845.78346750000071</v>
      </c>
      <c r="G69" s="50">
        <f t="shared" si="33"/>
        <v>1011.8379742083337</v>
      </c>
      <c r="H69" s="50">
        <f t="shared" ref="H69" si="34">H67-H68</f>
        <v>1185.7045395854177</v>
      </c>
    </row>
    <row r="70" spans="1:8" s="1" customFormat="1" x14ac:dyDescent="0.25">
      <c r="A70" s="47" t="s">
        <v>112</v>
      </c>
    </row>
    <row r="71" spans="1:8" x14ac:dyDescent="0.25">
      <c r="A71" s="52" t="s">
        <v>16</v>
      </c>
      <c r="B71" s="53">
        <v>0</v>
      </c>
      <c r="C71" s="53">
        <v>1</v>
      </c>
      <c r="D71" s="53">
        <v>2</v>
      </c>
      <c r="E71" s="53">
        <v>3</v>
      </c>
      <c r="F71" s="53">
        <v>4</v>
      </c>
      <c r="G71" s="53">
        <v>5</v>
      </c>
      <c r="H71" s="53">
        <v>6</v>
      </c>
    </row>
    <row r="72" spans="1:8" s="1" customFormat="1" ht="17.25" thickBot="1" x14ac:dyDescent="0.3">
      <c r="A72" s="47" t="s">
        <v>60</v>
      </c>
      <c r="B72" s="10">
        <f>SUM(B73:B77)</f>
        <v>736</v>
      </c>
      <c r="C72" s="10">
        <f>SUM(C73:C77)</f>
        <v>3819.375</v>
      </c>
      <c r="D72" s="10">
        <f t="shared" ref="D72:G72" si="35">SUM(D73:D77)</f>
        <v>4010.3437500000005</v>
      </c>
      <c r="E72" s="10">
        <f t="shared" si="35"/>
        <v>4210.8609375000005</v>
      </c>
      <c r="F72" s="10">
        <f t="shared" si="35"/>
        <v>4421.4039843750006</v>
      </c>
      <c r="G72" s="10">
        <f t="shared" si="35"/>
        <v>4642.4741835937502</v>
      </c>
      <c r="H72" s="10">
        <f>SUM(H73:H77)</f>
        <v>6204.5978927734386</v>
      </c>
    </row>
    <row r="73" spans="1:8" x14ac:dyDescent="0.25">
      <c r="A73" s="51" t="s">
        <v>61</v>
      </c>
      <c r="C73" s="5">
        <f>C61</f>
        <v>3819.375</v>
      </c>
      <c r="D73" s="5">
        <f t="shared" ref="D73:G73" si="36">D61</f>
        <v>4010.3437500000005</v>
      </c>
      <c r="E73" s="5">
        <f t="shared" si="36"/>
        <v>4210.8609375000005</v>
      </c>
      <c r="F73" s="5">
        <f t="shared" si="36"/>
        <v>4421.4039843750006</v>
      </c>
      <c r="G73" s="5">
        <f t="shared" si="36"/>
        <v>4642.4741835937502</v>
      </c>
      <c r="H73" s="5">
        <f t="shared" ref="H73" si="37">H61</f>
        <v>4874.5978927734386</v>
      </c>
    </row>
    <row r="74" spans="1:8" x14ac:dyDescent="0.25">
      <c r="A74" s="107" t="s">
        <v>62</v>
      </c>
      <c r="B74" s="108">
        <f>B58</f>
        <v>736</v>
      </c>
    </row>
    <row r="75" spans="1:8" x14ac:dyDescent="0.25">
      <c r="A75" s="51" t="s">
        <v>63</v>
      </c>
      <c r="G75" s="5"/>
      <c r="H75" s="5">
        <f>B43</f>
        <v>80</v>
      </c>
    </row>
    <row r="76" spans="1:8" x14ac:dyDescent="0.25">
      <c r="A76" s="51" t="s">
        <v>64</v>
      </c>
      <c r="H76">
        <f>B44</f>
        <v>50</v>
      </c>
    </row>
    <row r="77" spans="1:8" ht="19.5" thickBot="1" x14ac:dyDescent="0.45">
      <c r="A77" s="48" t="s">
        <v>65</v>
      </c>
      <c r="B77" s="40"/>
      <c r="C77" s="40"/>
      <c r="D77" s="40"/>
      <c r="E77" s="40"/>
      <c r="F77" s="40"/>
      <c r="G77" s="56"/>
      <c r="H77" s="56">
        <f>B45</f>
        <v>1200</v>
      </c>
    </row>
    <row r="78" spans="1:8" s="1" customFormat="1" ht="17.25" thickBot="1" x14ac:dyDescent="0.3">
      <c r="A78" s="47" t="s">
        <v>66</v>
      </c>
      <c r="B78" s="54">
        <f>SUM(B79:B82)</f>
        <v>1840</v>
      </c>
      <c r="C78" s="54">
        <f t="shared" ref="C78:G78" si="38">SUM(C79:C82)</f>
        <v>3439.1816666666668</v>
      </c>
      <c r="D78" s="54">
        <f t="shared" si="38"/>
        <v>3485.3700833333332</v>
      </c>
      <c r="E78" s="54">
        <f t="shared" si="38"/>
        <v>3534.3585874999999</v>
      </c>
      <c r="F78" s="54">
        <f t="shared" si="38"/>
        <v>3586.2871835416668</v>
      </c>
      <c r="G78" s="54">
        <f t="shared" si="38"/>
        <v>3641.3028760520833</v>
      </c>
      <c r="H78" s="54">
        <f t="shared" ref="H78" si="39">SUM(H79:H82)</f>
        <v>3699.5600198546881</v>
      </c>
    </row>
    <row r="79" spans="1:8" x14ac:dyDescent="0.25">
      <c r="A79" s="51" t="s">
        <v>67</v>
      </c>
      <c r="B79" s="5">
        <f>B4</f>
        <v>1840</v>
      </c>
    </row>
    <row r="80" spans="1:8" x14ac:dyDescent="0.25">
      <c r="A80" s="51" t="s">
        <v>68</v>
      </c>
      <c r="C80" s="5">
        <f>C40</f>
        <v>3145.2</v>
      </c>
      <c r="D80" s="5">
        <f t="shared" ref="D80:G80" si="40">D40</f>
        <v>3167.4599999999996</v>
      </c>
      <c r="E80" s="5">
        <f t="shared" si="40"/>
        <v>3190.8329999999996</v>
      </c>
      <c r="F80" s="5">
        <f t="shared" si="40"/>
        <v>3215.3746499999997</v>
      </c>
      <c r="G80" s="5">
        <f t="shared" si="40"/>
        <v>3241.1433824999999</v>
      </c>
      <c r="H80" s="5">
        <f t="shared" ref="H80" si="41">H40</f>
        <v>3268.2005516250001</v>
      </c>
    </row>
    <row r="81" spans="1:8" x14ac:dyDescent="0.25">
      <c r="A81" s="51" t="s">
        <v>69</v>
      </c>
      <c r="C81" s="45">
        <f>C68</f>
        <v>97.715000000000089</v>
      </c>
      <c r="D81" s="45">
        <f t="shared" ref="D81:G81" si="42">D68</f>
        <v>133.91008333333352</v>
      </c>
      <c r="E81" s="45">
        <f t="shared" si="42"/>
        <v>171.79225416666685</v>
      </c>
      <c r="F81" s="45">
        <f t="shared" si="42"/>
        <v>211.44586687500021</v>
      </c>
      <c r="G81" s="45">
        <f t="shared" si="42"/>
        <v>252.95949355208342</v>
      </c>
      <c r="H81" s="45">
        <f t="shared" ref="H81" si="43">H68</f>
        <v>296.42613489635443</v>
      </c>
    </row>
    <row r="82" spans="1:8" x14ac:dyDescent="0.25">
      <c r="A82" s="107" t="s">
        <v>70</v>
      </c>
      <c r="B82" s="103"/>
      <c r="C82" s="108">
        <f>C54</f>
        <v>196.26666666666668</v>
      </c>
      <c r="D82" s="108">
        <f t="shared" ref="D82:G82" si="44">D54</f>
        <v>184</v>
      </c>
      <c r="E82" s="108">
        <f t="shared" si="44"/>
        <v>171.73333333333335</v>
      </c>
      <c r="F82" s="108">
        <f t="shared" si="44"/>
        <v>159.46666666666667</v>
      </c>
      <c r="G82" s="108">
        <f t="shared" si="44"/>
        <v>147.19999999999999</v>
      </c>
      <c r="H82" s="108">
        <f t="shared" ref="H82" si="45">H54</f>
        <v>134.93333333333334</v>
      </c>
    </row>
    <row r="83" spans="1:8" x14ac:dyDescent="0.25">
      <c r="A83" s="55" t="s">
        <v>71</v>
      </c>
      <c r="B83" s="57">
        <f>B72-B78</f>
        <v>-1104</v>
      </c>
      <c r="C83" s="106">
        <f t="shared" ref="C83:G83" si="46">C72-C78</f>
        <v>380.19333333333316</v>
      </c>
      <c r="D83" s="106">
        <f t="shared" si="46"/>
        <v>524.97366666666721</v>
      </c>
      <c r="E83" s="106">
        <f t="shared" si="46"/>
        <v>676.50235000000066</v>
      </c>
      <c r="F83" s="106">
        <f t="shared" si="46"/>
        <v>835.11680083333385</v>
      </c>
      <c r="G83" s="106">
        <f t="shared" si="46"/>
        <v>1001.1713075416669</v>
      </c>
      <c r="H83" s="106">
        <f t="shared" ref="H83" si="47">H72-H78</f>
        <v>2505.0378729187505</v>
      </c>
    </row>
    <row r="84" spans="1:8" x14ac:dyDescent="0.25">
      <c r="A84" s="59" t="s">
        <v>77</v>
      </c>
      <c r="B84" s="60">
        <f>B83</f>
        <v>-1104</v>
      </c>
      <c r="C84" s="60">
        <f>B84+C83</f>
        <v>-723.80666666666684</v>
      </c>
      <c r="D84" s="60">
        <f t="shared" ref="D84:H84" si="48">C84+D83</f>
        <v>-198.83299999999963</v>
      </c>
      <c r="E84" s="60">
        <f t="shared" si="48"/>
        <v>477.66935000000103</v>
      </c>
      <c r="F84" s="60">
        <f t="shared" si="48"/>
        <v>1312.7861508333349</v>
      </c>
      <c r="G84" s="60">
        <f t="shared" si="48"/>
        <v>2313.9574583750018</v>
      </c>
      <c r="H84" s="60">
        <f t="shared" si="48"/>
        <v>4818.9953312937523</v>
      </c>
    </row>
    <row r="85" spans="1:8" s="1" customFormat="1" x14ac:dyDescent="0.25">
      <c r="A85" s="47" t="s">
        <v>82</v>
      </c>
      <c r="B85" s="7">
        <f>B83/(1+$B$47)^B71</f>
        <v>-1104</v>
      </c>
      <c r="C85" s="7">
        <f t="shared" ref="C85:G85" si="49">C83/(1+$B$47)^C71</f>
        <v>327.75287356321826</v>
      </c>
      <c r="D85" s="7">
        <f t="shared" si="49"/>
        <v>390.14095323028187</v>
      </c>
      <c r="E85" s="7">
        <f t="shared" si="49"/>
        <v>433.40642169625698</v>
      </c>
      <c r="F85" s="7">
        <f t="shared" si="49"/>
        <v>461.22757479067172</v>
      </c>
      <c r="G85" s="7">
        <f t="shared" si="49"/>
        <v>476.67069017984284</v>
      </c>
      <c r="H85" s="7">
        <f t="shared" ref="H85" si="50">H83/(1+$B$47)^H71</f>
        <v>1028.1733925880394</v>
      </c>
    </row>
    <row r="86" spans="1:8" s="4" customFormat="1" ht="17.25" thickBot="1" x14ac:dyDescent="0.3">
      <c r="A86" s="59" t="s">
        <v>77</v>
      </c>
      <c r="B86" s="60">
        <f>B85</f>
        <v>-1104</v>
      </c>
      <c r="C86" s="60">
        <f>B86+C85</f>
        <v>-776.24712643678174</v>
      </c>
      <c r="D86" s="60">
        <f t="shared" ref="D86:H86" si="51">C86+D85</f>
        <v>-386.10617320649988</v>
      </c>
      <c r="E86" s="60">
        <f t="shared" si="51"/>
        <v>47.300248489757109</v>
      </c>
      <c r="F86" s="60">
        <f t="shared" si="51"/>
        <v>508.52782328042883</v>
      </c>
      <c r="G86" s="60">
        <f t="shared" si="51"/>
        <v>985.19851346027167</v>
      </c>
      <c r="H86" s="60">
        <f t="shared" si="51"/>
        <v>2013.3719060483111</v>
      </c>
    </row>
    <row r="87" spans="1:8" s="1" customFormat="1" x14ac:dyDescent="0.25">
      <c r="A87" s="11" t="s">
        <v>78</v>
      </c>
      <c r="B87" s="12"/>
      <c r="C87" s="12"/>
      <c r="D87" s="12"/>
      <c r="E87" s="61"/>
      <c r="F87" s="12"/>
      <c r="G87" s="13"/>
      <c r="H87" s="13"/>
    </row>
    <row r="88" spans="1:8" x14ac:dyDescent="0.25">
      <c r="A88" s="62" t="s">
        <v>80</v>
      </c>
      <c r="B88" s="16"/>
      <c r="C88" s="16">
        <f>IF(C84&lt;0,1,0)</f>
        <v>1</v>
      </c>
      <c r="D88" s="16">
        <f t="shared" ref="D88:G88" si="52">IF(D84&lt;0,1,0)</f>
        <v>1</v>
      </c>
      <c r="E88" s="16">
        <f t="shared" si="52"/>
        <v>0</v>
      </c>
      <c r="F88" s="16">
        <f t="shared" si="52"/>
        <v>0</v>
      </c>
      <c r="G88" s="16">
        <f t="shared" si="52"/>
        <v>0</v>
      </c>
      <c r="H88" s="16">
        <f t="shared" ref="H88" si="53">IF(H84&lt;0,1,0)</f>
        <v>0</v>
      </c>
    </row>
    <row r="89" spans="1:8" x14ac:dyDescent="0.25">
      <c r="A89" s="62" t="s">
        <v>79</v>
      </c>
      <c r="B89" s="16"/>
      <c r="C89" s="16">
        <f>IF(C84*D84&lt;0,C84*12/D83,0)</f>
        <v>0</v>
      </c>
      <c r="D89" s="16">
        <f t="shared" ref="D89:H89" si="54">IF(D84*E84&lt;0,D84*12/E83,0)</f>
        <v>-3.5269589233503673</v>
      </c>
      <c r="E89" s="16">
        <f t="shared" si="54"/>
        <v>0</v>
      </c>
      <c r="F89" s="16">
        <f t="shared" si="54"/>
        <v>0</v>
      </c>
      <c r="G89" s="16">
        <f t="shared" si="54"/>
        <v>0</v>
      </c>
      <c r="H89" s="16">
        <f t="shared" si="54"/>
        <v>0</v>
      </c>
    </row>
    <row r="90" spans="1:8" s="1" customFormat="1" x14ac:dyDescent="0.25">
      <c r="A90" s="14" t="s">
        <v>83</v>
      </c>
      <c r="B90" s="24"/>
      <c r="C90" s="24"/>
      <c r="D90" s="24"/>
      <c r="E90" s="24"/>
      <c r="F90" s="24"/>
      <c r="G90" s="63"/>
      <c r="H90" s="63"/>
    </row>
    <row r="91" spans="1:8" x14ac:dyDescent="0.25">
      <c r="A91" s="62" t="s">
        <v>80</v>
      </c>
      <c r="B91" s="16"/>
      <c r="C91" s="16">
        <f>IF(C86&lt;0,1,0)</f>
        <v>1</v>
      </c>
      <c r="D91" s="16">
        <f t="shared" ref="D91:G91" si="55">IF(D86&lt;0,1,0)</f>
        <v>1</v>
      </c>
      <c r="E91" s="16">
        <f t="shared" si="55"/>
        <v>0</v>
      </c>
      <c r="F91" s="16">
        <f t="shared" si="55"/>
        <v>0</v>
      </c>
      <c r="G91" s="16">
        <f t="shared" si="55"/>
        <v>0</v>
      </c>
      <c r="H91" s="16">
        <f t="shared" ref="H91" si="56">IF(H86&lt;0,1,0)</f>
        <v>0</v>
      </c>
    </row>
    <row r="92" spans="1:8" ht="17.25" thickBot="1" x14ac:dyDescent="0.3">
      <c r="A92" s="39" t="s">
        <v>79</v>
      </c>
      <c r="B92" s="40"/>
      <c r="C92" s="40">
        <f>IF(C86*D86&lt;0,C86*12/D85,0)</f>
        <v>0</v>
      </c>
      <c r="D92" s="40">
        <f t="shared" ref="D92:H92" si="57">IF(D86*E86&lt;0,D86*12/E85,0)</f>
        <v>-10.690367854597971</v>
      </c>
      <c r="E92" s="40">
        <f t="shared" si="57"/>
        <v>0</v>
      </c>
      <c r="F92" s="40">
        <f t="shared" si="57"/>
        <v>0</v>
      </c>
      <c r="G92" s="40">
        <f t="shared" si="57"/>
        <v>0</v>
      </c>
      <c r="H92" s="40">
        <f t="shared" si="57"/>
        <v>0</v>
      </c>
    </row>
    <row r="93" spans="1:8" ht="23.25" customHeight="1" thickBot="1" x14ac:dyDescent="0.3">
      <c r="A93" s="120" t="s">
        <v>72</v>
      </c>
    </row>
    <row r="94" spans="1:8" s="1" customFormat="1" x14ac:dyDescent="0.25">
      <c r="A94" s="64" t="s">
        <v>73</v>
      </c>
      <c r="B94" s="109">
        <f>NPV(B47,C83:H83)+B83</f>
        <v>2013.3719060483108</v>
      </c>
      <c r="C94" s="12"/>
      <c r="D94" s="13"/>
    </row>
    <row r="95" spans="1:8" s="1" customFormat="1" x14ac:dyDescent="0.25">
      <c r="A95" s="42" t="s">
        <v>74</v>
      </c>
      <c r="B95" s="65">
        <f>IRR(B83:H83)</f>
        <v>0.54057749140293443</v>
      </c>
      <c r="C95" s="24"/>
      <c r="D95" s="63"/>
    </row>
    <row r="96" spans="1:8" x14ac:dyDescent="0.25">
      <c r="A96" s="42" t="s">
        <v>75</v>
      </c>
      <c r="B96" s="47"/>
      <c r="C96" s="16"/>
      <c r="D96" s="17"/>
    </row>
    <row r="97" spans="1:9" x14ac:dyDescent="0.25">
      <c r="A97" s="42" t="s">
        <v>76</v>
      </c>
      <c r="B97" s="66">
        <f>SUM(C88:G88)</f>
        <v>2</v>
      </c>
      <c r="C97" s="67">
        <f>SUM(C89:G89)</f>
        <v>-3.5269589233503673</v>
      </c>
      <c r="D97" s="17"/>
    </row>
    <row r="98" spans="1:9" ht="17.25" thickBot="1" x14ac:dyDescent="0.3">
      <c r="A98" s="68" t="s">
        <v>81</v>
      </c>
      <c r="B98" s="69">
        <f>SUM(C91:G91)</f>
        <v>2</v>
      </c>
      <c r="C98" s="70">
        <f>SUM(C92:G92)</f>
        <v>-10.690367854597971</v>
      </c>
      <c r="D98" s="41"/>
    </row>
    <row r="100" spans="1:9" ht="24.75" customHeight="1" x14ac:dyDescent="0.25">
      <c r="A100" s="120" t="s">
        <v>84</v>
      </c>
    </row>
    <row r="101" spans="1:9" x14ac:dyDescent="0.25">
      <c r="A101" s="47" t="s">
        <v>85</v>
      </c>
    </row>
    <row r="102" spans="1:9" x14ac:dyDescent="0.25">
      <c r="F102" t="s">
        <v>86</v>
      </c>
    </row>
    <row r="103" spans="1:9" x14ac:dyDescent="0.25">
      <c r="B103" s="78">
        <f>B94</f>
        <v>2013.3719060483108</v>
      </c>
      <c r="C103" s="76">
        <v>6.5</v>
      </c>
      <c r="D103" s="76">
        <v>7</v>
      </c>
      <c r="E103" s="76">
        <v>7.5</v>
      </c>
      <c r="F103" s="77">
        <v>8</v>
      </c>
      <c r="G103" s="76">
        <v>8.5</v>
      </c>
      <c r="H103" s="76">
        <v>9</v>
      </c>
      <c r="I103" s="76">
        <v>9.5</v>
      </c>
    </row>
    <row r="104" spans="1:9" x14ac:dyDescent="0.25">
      <c r="B104" s="76">
        <v>1.5</v>
      </c>
      <c r="C104" s="79">
        <f t="dataTable" ref="C104:I111" dt2D="1" dtr="1" r1="B22" r2="B29" ca="1"/>
        <v>789.02190929483936</v>
      </c>
      <c r="D104" s="79">
        <v>1622.2810621712947</v>
      </c>
      <c r="E104" s="79">
        <v>2455.5402150477494</v>
      </c>
      <c r="F104" s="79">
        <v>3288.7993679242036</v>
      </c>
      <c r="G104" s="79">
        <v>4122.0585208006605</v>
      </c>
      <c r="H104" s="79">
        <v>4955.3176736771165</v>
      </c>
      <c r="I104" s="79">
        <v>5788.5768265535708</v>
      </c>
    </row>
    <row r="105" spans="1:9" x14ac:dyDescent="0.25">
      <c r="B105" s="76">
        <v>1.6</v>
      </c>
      <c r="C105" s="79">
        <v>641.63247296169334</v>
      </c>
      <c r="D105" s="79">
        <v>1474.8916258381482</v>
      </c>
      <c r="E105" s="79">
        <v>2308.1507787146033</v>
      </c>
      <c r="F105" s="79">
        <v>3141.4099315910571</v>
      </c>
      <c r="G105" s="79">
        <v>3974.6690844675149</v>
      </c>
      <c r="H105" s="79">
        <v>4807.928237343971</v>
      </c>
      <c r="I105" s="79">
        <v>5641.1873902204234</v>
      </c>
    </row>
    <row r="106" spans="1:9" x14ac:dyDescent="0.25">
      <c r="B106" s="76">
        <v>1.7</v>
      </c>
      <c r="C106" s="79">
        <v>494.24303662854709</v>
      </c>
      <c r="D106" s="79">
        <v>1327.5021895050022</v>
      </c>
      <c r="E106" s="79">
        <v>2160.7613423814573</v>
      </c>
      <c r="F106" s="79">
        <v>2994.0204952579124</v>
      </c>
      <c r="G106" s="79">
        <v>3827.2796481343685</v>
      </c>
      <c r="H106" s="79">
        <v>4660.5388010108236</v>
      </c>
      <c r="I106" s="79">
        <v>5493.7979538872787</v>
      </c>
    </row>
    <row r="107" spans="1:9" x14ac:dyDescent="0.25">
      <c r="A107" t="s">
        <v>87</v>
      </c>
      <c r="B107" s="77">
        <v>1.8</v>
      </c>
      <c r="C107" s="79">
        <v>343.28894512298825</v>
      </c>
      <c r="D107" s="79">
        <v>1180.1127531718571</v>
      </c>
      <c r="E107" s="79">
        <v>2013.3719060483108</v>
      </c>
      <c r="F107" s="80">
        <v>2846.6310589247673</v>
      </c>
      <c r="G107" s="79">
        <v>3679.890211801222</v>
      </c>
      <c r="H107" s="79">
        <v>4513.1493646776789</v>
      </c>
      <c r="I107" s="79">
        <v>5346.4085175541331</v>
      </c>
    </row>
    <row r="108" spans="1:9" x14ac:dyDescent="0.25">
      <c r="B108" s="76">
        <v>1.9</v>
      </c>
      <c r="C108" s="79">
        <v>187.2788191346699</v>
      </c>
      <c r="D108" s="79">
        <v>1032.7233168387111</v>
      </c>
      <c r="E108" s="79">
        <v>1865.9824697151648</v>
      </c>
      <c r="F108" s="79">
        <v>2699.2416225916209</v>
      </c>
      <c r="G108" s="79">
        <v>3532.5007754680764</v>
      </c>
      <c r="H108" s="79">
        <v>4365.7599283445315</v>
      </c>
      <c r="I108" s="79">
        <v>5199.0190812209867</v>
      </c>
    </row>
    <row r="109" spans="1:9" x14ac:dyDescent="0.25">
      <c r="B109" s="76">
        <v>2</v>
      </c>
      <c r="C109" s="79">
        <v>31.26869314634996</v>
      </c>
      <c r="D109" s="79">
        <v>885.33388050556459</v>
      </c>
      <c r="E109" s="79">
        <v>1718.5930333820193</v>
      </c>
      <c r="F109" s="79">
        <v>2551.8521862584739</v>
      </c>
      <c r="G109" s="79">
        <v>3385.1113391349309</v>
      </c>
      <c r="H109" s="79">
        <v>4218.3704920113851</v>
      </c>
      <c r="I109" s="79">
        <v>5051.6296448878411</v>
      </c>
    </row>
    <row r="110" spans="1:9" x14ac:dyDescent="0.25">
      <c r="B110" s="76">
        <v>2.1</v>
      </c>
      <c r="C110" s="79">
        <v>-126.995012409943</v>
      </c>
      <c r="D110" s="79">
        <v>737.94444417241834</v>
      </c>
      <c r="E110" s="79">
        <v>1571.2035970488728</v>
      </c>
      <c r="F110" s="79">
        <v>2404.4627499253279</v>
      </c>
      <c r="G110" s="79">
        <v>3237.7219028017835</v>
      </c>
      <c r="H110" s="79">
        <v>4070.9810556782386</v>
      </c>
      <c r="I110" s="79">
        <v>4904.2402085546937</v>
      </c>
    </row>
    <row r="111" spans="1:9" x14ac:dyDescent="0.25">
      <c r="B111" s="76">
        <v>2.2000000000000002</v>
      </c>
      <c r="C111" s="79">
        <v>-290.43676741134107</v>
      </c>
      <c r="D111" s="79">
        <v>590.55500783927187</v>
      </c>
      <c r="E111" s="79">
        <v>1423.8141607157272</v>
      </c>
      <c r="F111" s="79">
        <v>2257.0733135921814</v>
      </c>
      <c r="G111" s="79">
        <v>3090.3324664686379</v>
      </c>
      <c r="H111" s="79">
        <v>3923.5916193450939</v>
      </c>
      <c r="I111" s="79">
        <v>4756.8507722215472</v>
      </c>
    </row>
    <row r="112" spans="1:9" x14ac:dyDescent="0.25">
      <c r="A112" s="1" t="s">
        <v>88</v>
      </c>
    </row>
    <row r="113" spans="1:9" x14ac:dyDescent="0.25">
      <c r="F113" t="s">
        <v>19</v>
      </c>
    </row>
    <row r="114" spans="1:9" x14ac:dyDescent="0.25">
      <c r="B114" s="133">
        <f>B95</f>
        <v>0.54057749140293443</v>
      </c>
      <c r="C114" s="76">
        <v>5</v>
      </c>
      <c r="D114" s="76">
        <v>6</v>
      </c>
      <c r="E114" s="76">
        <v>7</v>
      </c>
      <c r="F114" s="77">
        <v>8</v>
      </c>
      <c r="G114" s="76">
        <v>9</v>
      </c>
      <c r="H114" s="76">
        <v>10</v>
      </c>
      <c r="I114" s="76">
        <v>11</v>
      </c>
    </row>
    <row r="115" spans="1:9" x14ac:dyDescent="0.25">
      <c r="B115" s="82">
        <v>0.01</v>
      </c>
      <c r="C115" s="84">
        <f t="dataTable" ref="C115:I127" dt2D="1" dtr="1" r1="B22" r2="B21"/>
        <v>-0.23471202133603652</v>
      </c>
      <c r="D115" s="84">
        <v>0.10136267570642588</v>
      </c>
      <c r="E115" s="84">
        <v>0.42592792137618751</v>
      </c>
      <c r="F115" s="84">
        <v>0.76032688516247093</v>
      </c>
      <c r="G115" s="84">
        <v>1.1086883114725179</v>
      </c>
      <c r="H115" s="84">
        <v>1.4663416165376244</v>
      </c>
      <c r="I115" s="84">
        <v>1.8298496961955664</v>
      </c>
    </row>
    <row r="116" spans="1:9" x14ac:dyDescent="0.25">
      <c r="B116" s="82">
        <v>0.02</v>
      </c>
      <c r="C116" s="84">
        <v>-0.25286367698630619</v>
      </c>
      <c r="D116" s="84">
        <v>8.1345594954217226E-2</v>
      </c>
      <c r="E116" s="84">
        <v>0.40293015299296275</v>
      </c>
      <c r="F116" s="84">
        <v>0.732720003222608</v>
      </c>
      <c r="G116" s="84">
        <v>1.0765717098834653</v>
      </c>
      <c r="H116" s="84">
        <v>1.4299034899493499</v>
      </c>
      <c r="I116" s="84">
        <v>1.7892464915409643</v>
      </c>
    </row>
    <row r="117" spans="1:9" x14ac:dyDescent="0.25">
      <c r="B117" s="83">
        <v>0.03</v>
      </c>
      <c r="C117" s="84">
        <v>-0.27106544179857228</v>
      </c>
      <c r="D117" s="84">
        <v>6.1497282837721601E-2</v>
      </c>
      <c r="E117" s="84">
        <v>0.38002317146458386</v>
      </c>
      <c r="F117" s="85">
        <v>0.70520727864197275</v>
      </c>
      <c r="G117" s="84">
        <v>1.0445340769501956</v>
      </c>
      <c r="H117" s="84">
        <v>1.3935268222732571</v>
      </c>
      <c r="I117" s="84">
        <v>1.7486904901496207</v>
      </c>
    </row>
    <row r="118" spans="1:9" x14ac:dyDescent="0.25">
      <c r="B118" s="82">
        <v>0.04</v>
      </c>
      <c r="C118" s="84">
        <v>-0.28932599703546957</v>
      </c>
      <c r="D118" s="84">
        <v>4.1424230176945853E-2</v>
      </c>
      <c r="E118" s="84">
        <v>0.35720726435011607</v>
      </c>
      <c r="F118" s="84">
        <v>0.67779140193406162</v>
      </c>
      <c r="G118" s="84">
        <v>1.0125787308383916</v>
      </c>
      <c r="H118" s="84">
        <v>1.3572145940396432</v>
      </c>
      <c r="I118" s="84">
        <v>1.7081841030246134</v>
      </c>
    </row>
    <row r="119" spans="1:9" x14ac:dyDescent="0.25">
      <c r="B119" s="82">
        <f>B118+1%</f>
        <v>0.05</v>
      </c>
      <c r="C119" s="84">
        <v>-0.30765422873787129</v>
      </c>
      <c r="D119" s="84">
        <v>2.1163716025203616E-2</v>
      </c>
      <c r="E119" s="84">
        <v>0.33448248738457154</v>
      </c>
      <c r="F119" s="84">
        <v>0.6504750187908912</v>
      </c>
      <c r="G119" s="84">
        <v>0.98070909141108165</v>
      </c>
      <c r="H119" s="84">
        <v>1.3209699345880734</v>
      </c>
      <c r="I119" s="84">
        <v>1.6677298830092715</v>
      </c>
    </row>
    <row r="120" spans="1:9" x14ac:dyDescent="0.25">
      <c r="A120" t="s">
        <v>89</v>
      </c>
      <c r="B120" s="82">
        <f t="shared" ref="B120:B127" si="58">B119+1%</f>
        <v>6.0000000000000005E-2</v>
      </c>
      <c r="C120" s="84" t="e">
        <v>#NUM!</v>
      </c>
      <c r="D120" s="84">
        <v>1.0801174217540677E-3</v>
      </c>
      <c r="E120" s="84">
        <v>0.31184864484413843</v>
      </c>
      <c r="F120" s="84">
        <v>0.62326071130777305</v>
      </c>
      <c r="G120" s="84">
        <v>0.9489286752803805</v>
      </c>
      <c r="H120" s="84">
        <v>1.2847961268351287</v>
      </c>
      <c r="I120" s="84">
        <v>1.6273305329426875</v>
      </c>
    </row>
    <row r="121" spans="1:9" x14ac:dyDescent="0.25">
      <c r="B121" s="82">
        <f t="shared" si="58"/>
        <v>7.0000000000000007E-2</v>
      </c>
      <c r="C121" s="84" t="e">
        <v>#NUM!</v>
      </c>
      <c r="D121" s="84">
        <v>-1.883164798199255E-2</v>
      </c>
      <c r="E121" s="84">
        <v>0.28930526966213832</v>
      </c>
      <c r="F121" s="84">
        <v>0.59615097732383937</v>
      </c>
      <c r="G121" s="84">
        <v>0.91724108905933943</v>
      </c>
      <c r="H121" s="84">
        <v>1.2486966115809417</v>
      </c>
      <c r="I121" s="84">
        <v>1.5869889140850439</v>
      </c>
    </row>
    <row r="122" spans="1:9" x14ac:dyDescent="0.25">
      <c r="B122" s="82">
        <f t="shared" si="58"/>
        <v>0.08</v>
      </c>
      <c r="C122" s="84" t="e">
        <v>#NUM!</v>
      </c>
      <c r="D122" s="84">
        <v>-3.8773613343387137E-2</v>
      </c>
      <c r="E122" s="84">
        <v>0.26685160345555881</v>
      </c>
      <c r="F122" s="84">
        <v>0.56914820783927156</v>
      </c>
      <c r="G122" s="84">
        <v>0.88565002083937872</v>
      </c>
      <c r="H122" s="84">
        <v>1.2126749912085981</v>
      </c>
      <c r="I122" s="84">
        <v>1.5467080547709888</v>
      </c>
    </row>
    <row r="123" spans="1:9" x14ac:dyDescent="0.25">
      <c r="B123" s="82">
        <f t="shared" si="58"/>
        <v>0.09</v>
      </c>
      <c r="C123" s="84" t="e">
        <v>#NUM!</v>
      </c>
      <c r="D123" s="84">
        <v>-5.9122820297223821E-2</v>
      </c>
      <c r="E123" s="84">
        <v>0.24448657645783767</v>
      </c>
      <c r="F123" s="84">
        <v>0.54225466249083576</v>
      </c>
      <c r="G123" s="84">
        <v>0.85415922963307533</v>
      </c>
      <c r="H123" s="84">
        <v>1.1767350326069654</v>
      </c>
      <c r="I123" s="84">
        <v>1.5064911592352157</v>
      </c>
    </row>
    <row r="124" spans="1:9" x14ac:dyDescent="0.25">
      <c r="B124" s="82">
        <f t="shared" si="58"/>
        <v>9.9999999999999992E-2</v>
      </c>
      <c r="C124" s="84" t="e">
        <v>#NUM!</v>
      </c>
      <c r="D124" s="84">
        <v>-7.9316934214859192E-2</v>
      </c>
      <c r="E124" s="84">
        <v>0.22137957758582005</v>
      </c>
      <c r="F124" s="84">
        <v>0.51547244308174212</v>
      </c>
      <c r="G124" s="84">
        <v>0.82277253255575666</v>
      </c>
      <c r="H124" s="84">
        <v>1.140880669121747</v>
      </c>
      <c r="I124" s="84">
        <v>1.4663416165376244</v>
      </c>
    </row>
    <row r="125" spans="1:9" x14ac:dyDescent="0.25">
      <c r="B125" s="82">
        <f t="shared" si="58"/>
        <v>0.10999999999999999</v>
      </c>
      <c r="C125" s="84" t="e">
        <v>#NUM!</v>
      </c>
      <c r="D125" s="84">
        <v>-9.9360945844904736E-2</v>
      </c>
      <c r="E125" s="84">
        <v>0.19797220394867643</v>
      </c>
      <c r="F125" s="84">
        <v>0.48880346525966623</v>
      </c>
      <c r="G125" s="84">
        <v>0.79149378951342708</v>
      </c>
      <c r="H125" s="84">
        <v>1.1051160013115187</v>
      </c>
      <c r="I125" s="84">
        <v>1.4262630094954685</v>
      </c>
    </row>
    <row r="126" spans="1:9" x14ac:dyDescent="0.25">
      <c r="B126" s="82">
        <f t="shared" si="58"/>
        <v>0.11999999999999998</v>
      </c>
      <c r="C126" s="84" t="e">
        <v>#NUM!</v>
      </c>
      <c r="D126" s="84">
        <v>-0.1194564080308641</v>
      </c>
      <c r="E126" s="84">
        <v>0.17475976856711695</v>
      </c>
      <c r="F126" s="84">
        <v>0.46224942822838555</v>
      </c>
      <c r="G126" s="84">
        <v>0.76032688516247116</v>
      </c>
      <c r="H126" s="84">
        <v>1.0694452962554855</v>
      </c>
      <c r="I126" s="84">
        <v>1.3862591235064832</v>
      </c>
    </row>
    <row r="127" spans="1:9" x14ac:dyDescent="0.25">
      <c r="B127" s="82">
        <f t="shared" si="58"/>
        <v>0.12999999999999998</v>
      </c>
      <c r="C127" s="84" t="e">
        <v>#NUM!</v>
      </c>
      <c r="D127" s="84">
        <v>-0.14014411600491172</v>
      </c>
      <c r="E127" s="84">
        <v>0.15173721944134289</v>
      </c>
      <c r="F127" s="84">
        <v>0.43581178285296795</v>
      </c>
      <c r="G127" s="84">
        <v>0.72927570790921337</v>
      </c>
      <c r="H127" s="84">
        <v>1.0338729851054551</v>
      </c>
      <c r="I127" s="84">
        <v>1.3463339551195594</v>
      </c>
    </row>
    <row r="128" spans="1:9" ht="21.75" customHeight="1" x14ac:dyDescent="0.25">
      <c r="A128" s="120" t="s">
        <v>90</v>
      </c>
    </row>
    <row r="129" spans="1:9" s="1" customFormat="1" x14ac:dyDescent="0.25">
      <c r="A129" s="97" t="s">
        <v>113</v>
      </c>
      <c r="B129" s="98"/>
    </row>
    <row r="130" spans="1:9" ht="17.25" thickBot="1" x14ac:dyDescent="0.3">
      <c r="A130" s="86" t="s">
        <v>16</v>
      </c>
      <c r="B130" s="86">
        <v>1</v>
      </c>
      <c r="C130" s="6">
        <v>2</v>
      </c>
      <c r="D130" s="6">
        <v>3</v>
      </c>
      <c r="E130" s="6">
        <v>4</v>
      </c>
      <c r="F130" s="6">
        <v>5</v>
      </c>
      <c r="G130" s="6">
        <v>6</v>
      </c>
    </row>
    <row r="131" spans="1:9" x14ac:dyDescent="0.25">
      <c r="A131" s="44" t="s">
        <v>92</v>
      </c>
      <c r="B131" s="2">
        <f>SUM(B132:B134)</f>
        <v>630.80000000000007</v>
      </c>
      <c r="C131" s="2">
        <f t="shared" ref="C131:F131" si="59">SUM(C132:C134)</f>
        <v>640.79333333333341</v>
      </c>
      <c r="D131" s="2">
        <f t="shared" si="59"/>
        <v>651.8996666666668</v>
      </c>
      <c r="E131" s="2">
        <f t="shared" si="59"/>
        <v>664.17465000000016</v>
      </c>
      <c r="F131" s="2">
        <f t="shared" si="59"/>
        <v>677.67671583333356</v>
      </c>
      <c r="G131" s="2">
        <f t="shared" ref="G131" si="60">SUM(G132:G134)</f>
        <v>692.467218291667</v>
      </c>
    </row>
    <row r="132" spans="1:9" s="4" customFormat="1" x14ac:dyDescent="0.25">
      <c r="A132" s="59" t="s">
        <v>93</v>
      </c>
      <c r="B132" s="46">
        <f>C63</f>
        <v>445.20000000000005</v>
      </c>
      <c r="C132" s="46">
        <f t="shared" ref="C132:G132" si="61">D63</f>
        <v>467.46000000000009</v>
      </c>
      <c r="D132" s="46">
        <f t="shared" si="61"/>
        <v>490.83300000000014</v>
      </c>
      <c r="E132" s="46">
        <f t="shared" si="61"/>
        <v>515.3746500000002</v>
      </c>
      <c r="F132" s="46">
        <f t="shared" si="61"/>
        <v>541.14338250000026</v>
      </c>
      <c r="G132" s="46">
        <f t="shared" si="61"/>
        <v>568.20055162500034</v>
      </c>
      <c r="H132"/>
      <c r="I132"/>
    </row>
    <row r="133" spans="1:9" s="4" customFormat="1" x14ac:dyDescent="0.25">
      <c r="A133" s="59" t="s">
        <v>94</v>
      </c>
      <c r="B133" s="46">
        <f>C64</f>
        <v>112</v>
      </c>
      <c r="C133" s="46">
        <f t="shared" ref="C133:G133" si="62">D64</f>
        <v>112</v>
      </c>
      <c r="D133" s="46">
        <f t="shared" si="62"/>
        <v>112</v>
      </c>
      <c r="E133" s="46">
        <f t="shared" si="62"/>
        <v>112</v>
      </c>
      <c r="F133" s="46">
        <f t="shared" si="62"/>
        <v>112</v>
      </c>
      <c r="G133" s="46">
        <f t="shared" si="62"/>
        <v>112</v>
      </c>
    </row>
    <row r="134" spans="1:9" s="4" customFormat="1" x14ac:dyDescent="0.25">
      <c r="A134" s="59" t="s">
        <v>95</v>
      </c>
      <c r="B134" s="46">
        <f>C66</f>
        <v>73.600000000000009</v>
      </c>
      <c r="C134" s="46">
        <f t="shared" ref="C134:G134" si="63">D66</f>
        <v>61.333333333333343</v>
      </c>
      <c r="D134" s="46">
        <f t="shared" si="63"/>
        <v>49.06666666666667</v>
      </c>
      <c r="E134" s="46">
        <f t="shared" si="63"/>
        <v>36.800000000000004</v>
      </c>
      <c r="F134" s="46">
        <f t="shared" si="63"/>
        <v>24.533333333333331</v>
      </c>
      <c r="G134" s="46">
        <f t="shared" si="63"/>
        <v>12.266666666666666</v>
      </c>
    </row>
    <row r="135" spans="1:9" s="3" customFormat="1" x14ac:dyDescent="0.25">
      <c r="A135" s="51" t="s">
        <v>23</v>
      </c>
      <c r="B135" s="2">
        <f>C62</f>
        <v>2699.9999999999995</v>
      </c>
      <c r="C135" s="2">
        <f t="shared" ref="C135:G135" si="64">D62</f>
        <v>2699.9999999999995</v>
      </c>
      <c r="D135" s="2">
        <f t="shared" si="64"/>
        <v>2699.9999999999995</v>
      </c>
      <c r="E135" s="2">
        <f t="shared" si="64"/>
        <v>2699.9999999999995</v>
      </c>
      <c r="F135" s="2">
        <f t="shared" si="64"/>
        <v>2699.9999999999995</v>
      </c>
      <c r="G135" s="2">
        <f t="shared" si="64"/>
        <v>2699.9999999999995</v>
      </c>
    </row>
    <row r="136" spans="1:9" s="3" customFormat="1" x14ac:dyDescent="0.25">
      <c r="A136" s="51" t="s">
        <v>96</v>
      </c>
      <c r="B136" s="2">
        <f>C61</f>
        <v>3819.375</v>
      </c>
      <c r="C136" s="2">
        <f t="shared" ref="C136:G136" si="65">D61</f>
        <v>4010.3437500000005</v>
      </c>
      <c r="D136" s="2">
        <f t="shared" si="65"/>
        <v>4210.8609375000005</v>
      </c>
      <c r="E136" s="2">
        <f t="shared" si="65"/>
        <v>4421.4039843750006</v>
      </c>
      <c r="F136" s="2">
        <f t="shared" si="65"/>
        <v>4642.4741835937502</v>
      </c>
      <c r="G136" s="2">
        <f t="shared" si="65"/>
        <v>4874.5978927734386</v>
      </c>
    </row>
    <row r="137" spans="1:9" s="3" customFormat="1" x14ac:dyDescent="0.25">
      <c r="A137" s="51" t="s">
        <v>91</v>
      </c>
      <c r="B137" s="2">
        <f>B131/(1-B135/B136)</f>
        <v>2152.3276381909545</v>
      </c>
      <c r="C137" s="2">
        <f t="shared" ref="C137:F137" si="66">C131/(1-C135/C136)</f>
        <v>1961.1659454818623</v>
      </c>
      <c r="D137" s="2">
        <f t="shared" si="66"/>
        <v>1816.8838530421908</v>
      </c>
      <c r="E137" s="2">
        <f t="shared" si="66"/>
        <v>1705.9240425175808</v>
      </c>
      <c r="F137" s="2">
        <f t="shared" si="66"/>
        <v>1619.6337046077438</v>
      </c>
      <c r="G137" s="2">
        <f t="shared" ref="G137" si="67">G131/(1-G135/G136)</f>
        <v>1552.2406484052092</v>
      </c>
    </row>
    <row r="138" spans="1:9" x14ac:dyDescent="0.25">
      <c r="A138" s="51" t="s">
        <v>97</v>
      </c>
      <c r="B138" s="88">
        <f>B137*300/B136</f>
        <v>169.0586264656616</v>
      </c>
      <c r="C138" s="88">
        <f t="shared" ref="C138:F138" si="68">C137*300/C136</f>
        <v>146.70806801650323</v>
      </c>
      <c r="D138" s="88">
        <f t="shared" si="68"/>
        <v>129.44268737505826</v>
      </c>
      <c r="E138" s="88">
        <f t="shared" si="68"/>
        <v>115.74993250195342</v>
      </c>
      <c r="F138" s="88">
        <f t="shared" si="68"/>
        <v>104.66188764160115</v>
      </c>
      <c r="G138" s="88">
        <f t="shared" ref="G138" si="69">G137*300/G136</f>
        <v>95.530381123726926</v>
      </c>
    </row>
    <row r="155" spans="1:5" x14ac:dyDescent="0.25">
      <c r="A155" s="1" t="s">
        <v>114</v>
      </c>
    </row>
    <row r="156" spans="1:5" ht="17.25" thickBot="1" x14ac:dyDescent="0.3">
      <c r="A156" t="s">
        <v>98</v>
      </c>
    </row>
    <row r="157" spans="1:5" ht="17.25" thickBot="1" x14ac:dyDescent="0.3">
      <c r="A157" s="89" t="s">
        <v>99</v>
      </c>
      <c r="B157" s="110">
        <v>316</v>
      </c>
    </row>
    <row r="159" spans="1:5" ht="21.75" customHeight="1" x14ac:dyDescent="0.25">
      <c r="A159" s="120" t="s">
        <v>100</v>
      </c>
      <c r="B159" s="75"/>
      <c r="C159" s="75"/>
      <c r="D159" s="75"/>
      <c r="E159" s="75"/>
    </row>
    <row r="160" spans="1:5" s="1" customFormat="1" ht="17.25" thickBot="1" x14ac:dyDescent="0.3">
      <c r="A160" s="8" t="s">
        <v>101</v>
      </c>
      <c r="B160" s="8" t="s">
        <v>105</v>
      </c>
      <c r="C160" s="93" t="s">
        <v>109</v>
      </c>
      <c r="D160" s="8" t="s">
        <v>110</v>
      </c>
      <c r="E160" s="8" t="s">
        <v>111</v>
      </c>
    </row>
    <row r="161" spans="1:5" s="3" customFormat="1" x14ac:dyDescent="0.25">
      <c r="A161" s="51" t="s">
        <v>5</v>
      </c>
      <c r="B161" s="87">
        <f>B7</f>
        <v>250</v>
      </c>
      <c r="C161" s="3">
        <v>280</v>
      </c>
      <c r="D161" s="3">
        <v>250</v>
      </c>
      <c r="E161" s="3">
        <v>300</v>
      </c>
    </row>
    <row r="162" spans="1:5" s="3" customFormat="1" x14ac:dyDescent="0.25">
      <c r="A162" s="51" t="s">
        <v>17</v>
      </c>
      <c r="B162" s="90">
        <f>B20</f>
        <v>500</v>
      </c>
      <c r="C162" s="3">
        <v>400</v>
      </c>
      <c r="D162" s="3">
        <v>600</v>
      </c>
      <c r="E162" s="3">
        <v>800</v>
      </c>
    </row>
    <row r="163" spans="1:5" x14ac:dyDescent="0.25">
      <c r="A163" s="51" t="s">
        <v>102</v>
      </c>
      <c r="B163" s="81">
        <f>B21</f>
        <v>0.03</v>
      </c>
      <c r="C163" s="81">
        <v>0.02</v>
      </c>
      <c r="D163" s="81">
        <v>0.05</v>
      </c>
      <c r="E163" s="81">
        <v>0.06</v>
      </c>
    </row>
    <row r="164" spans="1:5" x14ac:dyDescent="0.25">
      <c r="A164" s="51" t="s">
        <v>86</v>
      </c>
      <c r="B164" s="91">
        <f>B22</f>
        <v>7.5</v>
      </c>
      <c r="C164" s="3">
        <v>7</v>
      </c>
      <c r="D164" s="3">
        <v>9</v>
      </c>
      <c r="E164" s="3">
        <v>7.5</v>
      </c>
    </row>
    <row r="165" spans="1:5" x14ac:dyDescent="0.25">
      <c r="A165" s="51" t="s">
        <v>103</v>
      </c>
      <c r="B165" s="92">
        <f>B28</f>
        <v>3.2</v>
      </c>
      <c r="C165" s="3">
        <v>3.1</v>
      </c>
      <c r="D165" s="3">
        <v>3.3</v>
      </c>
      <c r="E165" s="3">
        <v>3.35</v>
      </c>
    </row>
    <row r="166" spans="1:5" x14ac:dyDescent="0.25">
      <c r="A166" s="51" t="s">
        <v>104</v>
      </c>
      <c r="B166" s="92">
        <f>B29</f>
        <v>1.8</v>
      </c>
      <c r="C166" s="3">
        <v>2</v>
      </c>
      <c r="D166" s="3">
        <v>1.9</v>
      </c>
      <c r="E166" s="3">
        <v>2.1</v>
      </c>
    </row>
    <row r="167" spans="1:5" x14ac:dyDescent="0.25">
      <c r="A167" s="94" t="s">
        <v>29</v>
      </c>
      <c r="B167" s="95">
        <f>B33</f>
        <v>424</v>
      </c>
      <c r="C167" s="96">
        <v>380</v>
      </c>
      <c r="D167" s="96">
        <v>700</v>
      </c>
      <c r="E167" s="96">
        <v>800</v>
      </c>
    </row>
    <row r="168" spans="1:5" s="1" customFormat="1" ht="21" customHeight="1" thickBot="1" x14ac:dyDescent="0.3">
      <c r="A168" s="120" t="s">
        <v>106</v>
      </c>
    </row>
    <row r="169" spans="1:5" x14ac:dyDescent="0.25">
      <c r="A169" s="112" t="s">
        <v>107</v>
      </c>
      <c r="B169" s="113">
        <f>'Scenario Summary '!D14</f>
        <v>2013.3719060483099</v>
      </c>
      <c r="C169" s="113">
        <f>'Scenario Summary '!E14</f>
        <v>545.01909133031097</v>
      </c>
      <c r="D169" s="113">
        <f>'Scenario Summary '!F14</f>
        <v>4247.8715917052496</v>
      </c>
      <c r="E169" s="113">
        <f>'Scenario Summary '!G14</f>
        <v>1726.82800721233</v>
      </c>
    </row>
    <row r="170" spans="1:5" ht="17.25" thickBot="1" x14ac:dyDescent="0.3">
      <c r="A170" s="114" t="s">
        <v>108</v>
      </c>
      <c r="B170" s="115">
        <f>'Scenario Summary '!D15</f>
        <v>0.54057749140293399</v>
      </c>
      <c r="C170" s="115">
        <f>'Scenario Summary '!E15</f>
        <v>0.262683526933084</v>
      </c>
      <c r="D170" s="115">
        <f>'Scenario Summary '!F15</f>
        <v>0.96612579730047998</v>
      </c>
      <c r="E170" s="115">
        <f>'Scenario Summary '!G15</f>
        <v>0.44712585921471598</v>
      </c>
    </row>
  </sheetData>
  <scenarios current="0" show="0" sqref="B94 B95">
    <scenario name="TH1" locked="1" count="7" user="VINH TRAN" comment="Created by Huynh Thanh Dien on 12/29/2020_x000d_Modified by Huynh Thanh Dien on 12/29/2020_x000a_Modified by VINH TRAN on 23/11/2021">
      <inputCells r="B7" val="280" numFmtId="165"/>
      <inputCells r="B20" val="400" numFmtId="166"/>
      <inputCells r="B21" val="0.02" numFmtId="9"/>
      <inputCells r="B22" val="7" numFmtId="167"/>
      <inputCells r="B28" val="3.1" numFmtId="168"/>
      <inputCells r="B29" val="2" numFmtId="168"/>
      <inputCells r="B33" val="380" numFmtId="169"/>
    </scenario>
    <scenario name="TH2" locked="1" count="7" user="VINH TRAN" comment="Created by Huynh Thanh Dien on 12/29/2020_x000d_Modified by Huynh Thanh Dien on 12/29/2020_x000a_Modified by VINH TRAN on 23/11/2021">
      <inputCells r="B7" val="250" numFmtId="165"/>
      <inputCells r="B20" val="600" numFmtId="166"/>
      <inputCells r="B21" val="0.05" numFmtId="9"/>
      <inputCells r="B22" val="9" numFmtId="167"/>
      <inputCells r="B28" val="3.3" numFmtId="168"/>
      <inputCells r="B29" val="1.9" numFmtId="168"/>
      <inputCells r="B33" val="700" numFmtId="169"/>
    </scenario>
    <scenario name="TH3" locked="1" count="7" user="VINH TRAN" comment="Created by Huynh Thanh Dien on 12/29/2020_x000a_Modified by VINH TRAN on 23/11/2021">
      <inputCells r="B7" val="300" numFmtId="165"/>
      <inputCells r="B20" val="800" numFmtId="166"/>
      <inputCells r="B21" val="0.06" numFmtId="9"/>
      <inputCells r="B22" val="7.5" numFmtId="167"/>
      <inputCells r="B28" val="3.35" numFmtId="168"/>
      <inputCells r="B29" val="2.1" numFmtId="168"/>
      <inputCells r="B33" val="800" numFmtId="169"/>
    </scenario>
  </scenarios>
  <mergeCells count="2">
    <mergeCell ref="A1:G1"/>
    <mergeCell ref="A2:G2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Scenario Summary </vt:lpstr>
      <vt:lpstr>Phân tích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Binh</dc:creator>
  <cp:lastModifiedBy>VINH TRAN</cp:lastModifiedBy>
  <dcterms:created xsi:type="dcterms:W3CDTF">2020-10-29T06:14:23Z</dcterms:created>
  <dcterms:modified xsi:type="dcterms:W3CDTF">2021-11-23T13:26:33Z</dcterms:modified>
</cp:coreProperties>
</file>