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0.VLU\VLU\CV CHUNG\0. DAO TAO\231\"/>
    </mc:Choice>
  </mc:AlternateContent>
  <xr:revisionPtr revIDLastSave="0" documentId="13_ncr:1_{41D3A5F7-DF89-4D34-97C4-E2BCB1A3CC32}" xr6:coauthVersionLast="47" xr6:coauthVersionMax="47" xr10:uidLastSave="{00000000-0000-0000-0000-000000000000}"/>
  <bookViews>
    <workbookView xWindow="-108" yWindow="-108" windowWidth="23256" windowHeight="12456" xr2:uid="{BEFB3CB7-EE34-4620-8ACB-5E4EC4A6F47D}"/>
  </bookViews>
  <sheets>
    <sheet name="câu 1" sheetId="1" r:id="rId1"/>
    <sheet name="câu 2" sheetId="2" r:id="rId2"/>
    <sheet name="câu 3" sheetId="4" r:id="rId3"/>
    <sheet name="câu 4"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 i="4"/>
  <c r="C75" i="4"/>
  <c r="C74" i="4"/>
  <c r="C73" i="4"/>
  <c r="D76" i="4"/>
  <c r="D73" i="4"/>
  <c r="D75" i="4"/>
  <c r="D74" i="4"/>
  <c r="C65" i="4"/>
  <c r="C64" i="4"/>
  <c r="C63" i="4"/>
  <c r="D56" i="4"/>
  <c r="D55" i="4"/>
  <c r="E55" i="4"/>
  <c r="F55" i="4"/>
  <c r="E56" i="4"/>
  <c r="F56" i="4"/>
  <c r="C56" i="4"/>
  <c r="C55" i="4"/>
  <c r="D54" i="4"/>
  <c r="E54" i="4"/>
  <c r="F54" i="4"/>
  <c r="C54" i="4"/>
  <c r="D53" i="4"/>
  <c r="E53" i="4"/>
  <c r="F53" i="4"/>
  <c r="C53" i="4"/>
  <c r="D52" i="4"/>
  <c r="E52" i="4"/>
  <c r="F52" i="4"/>
  <c r="C52" i="4"/>
  <c r="E67" i="3" l="1"/>
  <c r="F67" i="3"/>
  <c r="G67" i="3"/>
  <c r="D67" i="3"/>
  <c r="E65" i="3"/>
  <c r="F65" i="3"/>
  <c r="G65" i="3"/>
  <c r="E66" i="3"/>
  <c r="F66" i="3"/>
  <c r="G66" i="3"/>
  <c r="D66" i="3"/>
  <c r="D65" i="3"/>
  <c r="D56" i="3"/>
  <c r="E56" i="3" s="1"/>
  <c r="E57" i="3" s="1"/>
  <c r="E55" i="3"/>
  <c r="E61" i="3" s="1"/>
  <c r="F55" i="3"/>
  <c r="F61" i="3" s="1"/>
  <c r="G55" i="3"/>
  <c r="G61" i="3" s="1"/>
  <c r="D55" i="3"/>
  <c r="D61" i="3" s="1"/>
  <c r="C10" i="3"/>
  <c r="C47" i="3" s="1"/>
  <c r="C42" i="3"/>
  <c r="E40" i="3" s="1"/>
  <c r="E75" i="3" s="1"/>
  <c r="E87" i="3" s="1"/>
  <c r="D57" i="3" l="1"/>
  <c r="D64" i="3" s="1"/>
  <c r="F49" i="3"/>
  <c r="C51" i="3"/>
  <c r="D46" i="3" s="1"/>
  <c r="E50" i="3"/>
  <c r="E77" i="3" s="1"/>
  <c r="G49" i="3"/>
  <c r="D50" i="3"/>
  <c r="D77" i="3" s="1"/>
  <c r="F50" i="3"/>
  <c r="F77" i="3" s="1"/>
  <c r="G50" i="3"/>
  <c r="G77" i="3" s="1"/>
  <c r="C90" i="3"/>
  <c r="E49" i="3"/>
  <c r="D49" i="3"/>
  <c r="E72" i="3"/>
  <c r="E64" i="3"/>
  <c r="E62" i="3"/>
  <c r="E63" i="3"/>
  <c r="F56" i="3"/>
  <c r="G56" i="3" s="1"/>
  <c r="G57" i="3" s="1"/>
  <c r="D62" i="3"/>
  <c r="C89" i="3"/>
  <c r="D63" i="3"/>
  <c r="D72" i="3"/>
  <c r="D40" i="3"/>
  <c r="D42" i="3" s="1"/>
  <c r="E42" i="3" s="1"/>
  <c r="F42" i="3" s="1"/>
  <c r="G42" i="3" s="1"/>
  <c r="F40" i="3"/>
  <c r="F75" i="3" s="1"/>
  <c r="F87" i="3" s="1"/>
  <c r="H40" i="3"/>
  <c r="G40" i="3"/>
  <c r="G75" i="3" s="1"/>
  <c r="G87" i="3" s="1"/>
  <c r="D48" i="3" l="1"/>
  <c r="E73" i="3"/>
  <c r="E74" i="3" s="1"/>
  <c r="E76" i="3" s="1"/>
  <c r="E78" i="3" s="1"/>
  <c r="E79" i="3" s="1"/>
  <c r="E80" i="3" s="1"/>
  <c r="E86" i="3" s="1"/>
  <c r="E92" i="3" s="1"/>
  <c r="D73" i="3"/>
  <c r="F57" i="3"/>
  <c r="F64" i="3" s="1"/>
  <c r="C92" i="3"/>
  <c r="H42" i="3"/>
  <c r="H88" i="3"/>
  <c r="H92" i="3" s="1"/>
  <c r="D74" i="3"/>
  <c r="D41" i="3"/>
  <c r="E41" i="3" s="1"/>
  <c r="F41" i="3" s="1"/>
  <c r="G41" i="3" s="1"/>
  <c r="H41" i="3" s="1"/>
  <c r="D75" i="3"/>
  <c r="D87" i="3" s="1"/>
  <c r="G48" i="3"/>
  <c r="G91" i="3"/>
  <c r="G63" i="3"/>
  <c r="G72" i="3"/>
  <c r="G64" i="3"/>
  <c r="G62" i="3"/>
  <c r="D51" i="3"/>
  <c r="E46" i="3" s="1"/>
  <c r="E51" i="3" s="1"/>
  <c r="F46" i="3" s="1"/>
  <c r="F51" i="3" s="1"/>
  <c r="G46" i="3" s="1"/>
  <c r="G51" i="3" s="1"/>
  <c r="D91" i="3"/>
  <c r="F72" i="3"/>
  <c r="F62" i="3"/>
  <c r="F63" i="3"/>
  <c r="E91" i="3"/>
  <c r="E48" i="3"/>
  <c r="F48" i="3"/>
  <c r="F91" i="3"/>
  <c r="A2" i="3"/>
  <c r="G73" i="3" l="1"/>
  <c r="D76" i="3"/>
  <c r="D78" i="3" s="1"/>
  <c r="G74" i="3"/>
  <c r="G76" i="3" s="1"/>
  <c r="G78" i="3" s="1"/>
  <c r="G79" i="3" s="1"/>
  <c r="G80" i="3" s="1"/>
  <c r="G86" i="3" s="1"/>
  <c r="G92" i="3" s="1"/>
  <c r="F73" i="3"/>
  <c r="F74" i="3" s="1"/>
  <c r="F76" i="3" s="1"/>
  <c r="F78" i="3" s="1"/>
  <c r="F79" i="3" s="1"/>
  <c r="F80" i="3" s="1"/>
  <c r="F86" i="3" s="1"/>
  <c r="F92" i="3" s="1"/>
  <c r="H17" i="2"/>
  <c r="G17" i="2"/>
  <c r="F17" i="2"/>
  <c r="F19" i="2" s="1"/>
  <c r="E17" i="2"/>
  <c r="E19" i="2" s="1"/>
  <c r="D17" i="2"/>
  <c r="D19" i="2" s="1"/>
  <c r="C20" i="2" s="1"/>
  <c r="C10" i="2"/>
  <c r="E9" i="2"/>
  <c r="F9" i="2"/>
  <c r="D9" i="2"/>
  <c r="F8" i="2"/>
  <c r="E7" i="2"/>
  <c r="F7" i="2"/>
  <c r="G7" i="2"/>
  <c r="H7" i="2"/>
  <c r="D7" i="2"/>
  <c r="B25" i="1"/>
  <c r="E32" i="1"/>
  <c r="F32" i="1"/>
  <c r="G32" i="1"/>
  <c r="H32" i="1"/>
  <c r="I32" i="1"/>
  <c r="J32" i="1"/>
  <c r="K32" i="1"/>
  <c r="L32" i="1"/>
  <c r="M32" i="1"/>
  <c r="N32" i="1"/>
  <c r="O32" i="1"/>
  <c r="E33" i="1"/>
  <c r="F33" i="1"/>
  <c r="G33" i="1"/>
  <c r="H33" i="1"/>
  <c r="I33" i="1"/>
  <c r="J33" i="1"/>
  <c r="K33" i="1"/>
  <c r="L33" i="1"/>
  <c r="M33" i="1"/>
  <c r="N33" i="1"/>
  <c r="O33" i="1"/>
  <c r="D33" i="1"/>
  <c r="D32" i="1"/>
  <c r="D34" i="1" s="1"/>
  <c r="C35" i="1"/>
  <c r="D29" i="1" s="1"/>
  <c r="D35" i="1" s="1"/>
  <c r="E29" i="1" s="1"/>
  <c r="E35" i="1" s="1"/>
  <c r="F29" i="1" s="1"/>
  <c r="B22" i="1"/>
  <c r="A15" i="1"/>
  <c r="A1" i="2"/>
  <c r="D79" i="3" l="1"/>
  <c r="D80" i="3" s="1"/>
  <c r="D86" i="3" s="1"/>
  <c r="D92" i="3" s="1"/>
  <c r="E34" i="1"/>
  <c r="E31" i="1" s="1"/>
  <c r="F35" i="1"/>
  <c r="G29" i="1" s="1"/>
  <c r="F34" i="1"/>
  <c r="F31" i="1"/>
  <c r="D31" i="1"/>
  <c r="C96" i="3" l="1"/>
  <c r="C97" i="3"/>
  <c r="G35" i="1"/>
  <c r="H29" i="1" s="1"/>
  <c r="G34" i="1"/>
  <c r="G31" i="1" s="1"/>
  <c r="H35" i="1" l="1"/>
  <c r="I29" i="1" s="1"/>
  <c r="H34" i="1"/>
  <c r="H31" i="1" s="1"/>
  <c r="I34" i="1" l="1"/>
  <c r="I31" i="1" s="1"/>
  <c r="I35" i="1"/>
  <c r="J29" i="1" s="1"/>
  <c r="J34" i="1" l="1"/>
  <c r="J31" i="1" s="1"/>
  <c r="J35" i="1"/>
  <c r="K29" i="1" s="1"/>
  <c r="K34" i="1" l="1"/>
  <c r="K31" i="1" s="1"/>
  <c r="K35" i="1"/>
  <c r="L29" i="1" s="1"/>
  <c r="L34" i="1" l="1"/>
  <c r="L31" i="1" s="1"/>
  <c r="L35" i="1"/>
  <c r="M29" i="1" s="1"/>
  <c r="M34" i="1" l="1"/>
  <c r="M31" i="1" s="1"/>
  <c r="M35" i="1"/>
  <c r="N29" i="1" s="1"/>
  <c r="N35" i="1" l="1"/>
  <c r="O29" i="1" s="1"/>
  <c r="N34" i="1"/>
  <c r="N31" i="1" s="1"/>
  <c r="O35" i="1" l="1"/>
  <c r="O34" i="1"/>
  <c r="O31" i="1" s="1"/>
</calcChain>
</file>

<file path=xl/sharedStrings.xml><?xml version="1.0" encoding="utf-8"?>
<sst xmlns="http://schemas.openxmlformats.org/spreadsheetml/2006/main" count="221" uniqueCount="185">
  <si>
    <t>Tính:</t>
  </si>
  <si>
    <t>năm</t>
  </si>
  <si>
    <t>Thông tin tóm tắt của một dự án Sản xuất kinh doanh nước hoa như sau:</t>
  </si>
  <si>
    <t>Dòng đời dự án</t>
  </si>
  <si>
    <t>Năm</t>
  </si>
  <si>
    <t>Công suất tối đa/năm</t>
  </si>
  <si>
    <t xml:space="preserve">Công suất </t>
  </si>
  <si>
    <t>Sản lượng</t>
  </si>
  <si>
    <t>Giá bán năm đầu</t>
  </si>
  <si>
    <t>Tỷ lệ tăng</t>
  </si>
  <si>
    <t>Giá trị đầu tư nhà xưởng</t>
  </si>
  <si>
    <t>Giá trị máy móc thiết bị đầu tư</t>
  </si>
  <si>
    <t>Thời gian khấu hao</t>
  </si>
  <si>
    <t>Chi phí thuê đất</t>
  </si>
  <si>
    <t>Vốn lưu động</t>
  </si>
  <si>
    <t>Chi phí hoạt động thường xuyên năm 1</t>
  </si>
  <si>
    <t>Biến phí đơn vị</t>
  </si>
  <si>
    <t>Tốc độ tăng biến phí</t>
  </si>
  <si>
    <t>Chi phí quản lý</t>
  </si>
  <si>
    <t>Chi phí bán hàng</t>
  </si>
  <si>
    <t>Chi phí khác</t>
  </si>
  <si>
    <t>Tỷ lệ vay</t>
  </si>
  <si>
    <t>Lãi suất vay</t>
  </si>
  <si>
    <t>Thời gian vay</t>
  </si>
  <si>
    <t>Thuế suất</t>
  </si>
  <si>
    <t>Tỷ suất sinh lợi yêu cầu</t>
  </si>
  <si>
    <t>NPV</t>
  </si>
  <si>
    <t>IRR</t>
  </si>
  <si>
    <t>Cổ phiếu công ty X có cổ tức hiện tại 2.500 đồng, tỷ lệ tăng cổ tức ước tính trong 3 năm tới là 15%, sau đó giữ ổn định mãi mãi ở mức 8%.</t>
  </si>
  <si>
    <t>2a. Hãy xác định nhà đầu tư sẵn lòng mua nắm giữ dài hạn với kỳ vọng 12%/năm</t>
  </si>
  <si>
    <t>2b. Nếu nhà đầu tư mua và bán lại cổ phiếu tại năm thứ 3 với giá 32.000 đồng, kỳ vọng lợi tức 15%, nhà đầu tư sẽ mua cổ phiếu này với giá bao nhiêu?</t>
  </si>
  <si>
    <t>Câu 2: (2,0 điểm)</t>
  </si>
  <si>
    <t>TRƯỜNG ĐẠI HỌC VĂN LANG</t>
  </si>
  <si>
    <t>KHOA TÀI CHÍNH - NGÂN HÀNG</t>
  </si>
  <si>
    <t>ĐỀ THI KẾT THÚC HỌC PHẦN</t>
  </si>
  <si>
    <t>Tên học phần: MS Excel ứng dụng trong Tài chính</t>
  </si>
  <si>
    <t>HK 231, NĂM HỌC 2023 -2024</t>
  </si>
  <si>
    <t>Mã HP: 71FINC20053</t>
  </si>
  <si>
    <t>Tín chỉ: 03</t>
  </si>
  <si>
    <t xml:space="preserve">Lớp: </t>
  </si>
  <si>
    <t>71FINC20053_01</t>
  </si>
  <si>
    <t>Thời gian làm bài 75 phút (không bao gồm: 5 phút mở đề 5 phút nộp bài)</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</si>
  <si>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</si>
  <si>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</si>
  <si>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</si>
  <si>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</si>
  <si>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</si>
  <si>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</si>
  <si>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</si>
  <si>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</si>
  <si>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</si>
  <si>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</si>
  <si>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t>-        Khoản tiền 100 triệu tích góp từ việc gửi ngân hàng X  từ khi vào Đại học cách đây 2 năm với lãi suất 6%/năm.</t>
  </si>
  <si>
    <t>Bạn Bình có đam mê kinh doanh và khởi nghiệp khi còn đang là sinh viên Đại học Văn Lang. Bạn muốn mở một cửa hàng bán những sản phẩm thân thiện môi trường với các thông tin như sau:</t>
  </si>
  <si>
    <t>a. Hỏi số tiền Bình phải góp mỗi tháng cho ngân hàng X?</t>
  </si>
  <si>
    <t>Kỳ</t>
  </si>
  <si>
    <t>Dư nợ đầu kỳ</t>
  </si>
  <si>
    <t>Giải ngân trong kỳ</t>
  </si>
  <si>
    <t>Tổng phải trả</t>
  </si>
  <si>
    <t>Vốn gốc</t>
  </si>
  <si>
    <t>Tiền lãi</t>
  </si>
  <si>
    <t>Dư nợ cuối kỳ</t>
  </si>
  <si>
    <t>c.     Lập bảng vay và trả nợ của Bình tại ngân hàng Z theo phương thức vốn gốc trả đều, lãi tính trên dự nợ</t>
  </si>
  <si>
    <t>-        Vay ngân hàng Z một khoảng 100 triệu trong thời gian 3 năm, lãi suất 12%/năm, lãi nhập hàng quý.</t>
  </si>
  <si>
    <t>Lãi suất</t>
  </si>
  <si>
    <t>-        Ba mẹ cho một số tiền là số tiền tiết kiệm của ba mẹ tại ngân hàng Y  khi gửi 20 triệu đồng mỗi nửa năm với lãi suất 8%/năm trong thời gian 5 năm.</t>
  </si>
  <si>
    <t>b.   Hỏi ba mẹ cho Bình bao nhiêu?</t>
  </si>
  <si>
    <t>cổ tức</t>
  </si>
  <si>
    <t>đồng</t>
  </si>
  <si>
    <t>Tốc độ tăng cổ tức</t>
  </si>
  <si>
    <t>Tỷ lệ tăng cổ tức</t>
  </si>
  <si>
    <t xml:space="preserve">Dòng tiền </t>
  </si>
  <si>
    <t>…n</t>
  </si>
  <si>
    <t>Giá trị chiết khấu về năm 3</t>
  </si>
  <si>
    <t>Giá mua cổ phiếu</t>
  </si>
  <si>
    <t>Cổ tức</t>
  </si>
  <si>
    <t>Thu nhập từ bán lại cổ phiếu</t>
  </si>
  <si>
    <t>Câu 1 (2 điểm)</t>
  </si>
  <si>
    <t>Câu 4: (4 điểm)</t>
  </si>
  <si>
    <t xml:space="preserve"> sp/năm</t>
  </si>
  <si>
    <t>triệu đồng/sp</t>
  </si>
  <si>
    <t>triệu đồng</t>
  </si>
  <si>
    <t>KH đều</t>
  </si>
  <si>
    <t>triệu/năm</t>
  </si>
  <si>
    <t>trả khi có doanh thu</t>
  </si>
  <si>
    <t>triệu</t>
  </si>
  <si>
    <t>triệu/sp</t>
  </si>
  <si>
    <t>doanh thu</t>
  </si>
  <si>
    <t>/năm</t>
  </si>
  <si>
    <t>Trả đều hằng năm</t>
  </si>
  <si>
    <t>Yêu cầu:</t>
  </si>
  <si>
    <t xml:space="preserve">4a. Lập bảng tính khấu khao giá trị  các khoản mục chi phí được ghi nhận là tài sản cố định. </t>
  </si>
  <si>
    <t xml:space="preserve">4b.  Lập lịch vay và trả nợ </t>
  </si>
  <si>
    <t>4c. Lập bảng tính doanh thu hàng năm</t>
  </si>
  <si>
    <t>4d. Lập bảng tính tổng chi phí không bao gồm khấu hao hàng năm</t>
  </si>
  <si>
    <t xml:space="preserve">4e. Lập báo cáo kết quả kinh doanh dự kiến của dự án </t>
  </si>
  <si>
    <t>4f. Lập báo cáo lưu chuyển tiền tệ của dự án quan điểm chủ sở hữu</t>
  </si>
  <si>
    <t>4g. Tính NPV, IRR và kết luận về dự án</t>
  </si>
  <si>
    <t>Tổng vốn đầu tư</t>
  </si>
  <si>
    <t xml:space="preserve">4b. Lập lịch vay và trả nợ </t>
  </si>
  <si>
    <t>4d. Tính tổng chi phí không bao gồm khấu hao</t>
  </si>
  <si>
    <t xml:space="preserve">4e. Báo cáo kết quả kinh doanh </t>
  </si>
  <si>
    <t>Khấu hao trong kỳ</t>
  </si>
  <si>
    <t>Khấu hao luỹ kế</t>
  </si>
  <si>
    <t>Giá trị TSCĐ cuối kỳ</t>
  </si>
  <si>
    <t>Giá bán</t>
  </si>
  <si>
    <t>Doanh thu</t>
  </si>
  <si>
    <t>Biến phí</t>
  </si>
  <si>
    <t>Tổng chi phí không bao gồm khấu hao</t>
  </si>
  <si>
    <t>Chi phí không bao gồm khấu hao</t>
  </si>
  <si>
    <t xml:space="preserve">LN trước thuế, khấu hao và lãi vay </t>
  </si>
  <si>
    <t>Khấu hao</t>
  </si>
  <si>
    <t>LN hoạt động</t>
  </si>
  <si>
    <t>Chi phí lãi vay</t>
  </si>
  <si>
    <t>LN trước thuế</t>
  </si>
  <si>
    <t>Chi phí thuế</t>
  </si>
  <si>
    <t>Lợi nhuận thuần</t>
  </si>
  <si>
    <t>Khấu hao (+)</t>
  </si>
  <si>
    <t>Giá trị thanh lý/GTCL TSCĐ (+)</t>
  </si>
  <si>
    <t>Chi đầu tư (-)</t>
  </si>
  <si>
    <t>Vốn vay được giải ngân (+)</t>
  </si>
  <si>
    <t>Trả vốn gốc (-)</t>
  </si>
  <si>
    <t>Dòng tiền ròng (NCF = sum)</t>
  </si>
  <si>
    <t>4f. Báo cáo lưu chuyển tiền tệ theo phương pháp gián tiếp - quan điểm VCSH (AEPV)</t>
  </si>
  <si>
    <t>Lợi nhuận sau thuế  (+)</t>
  </si>
  <si>
    <t>TÀI SẢN</t>
  </si>
  <si>
    <t>A. Tài sản lưu động và đầu tư ngắn hạn</t>
  </si>
  <si>
    <t>I. Tiền và các khoản tương đương tiền</t>
  </si>
  <si>
    <t>II. Các khoản đầu tư tài chính ngắn hạn</t>
  </si>
  <si>
    <t>III. Các khoản phải thu ngắn hạn</t>
  </si>
  <si>
    <t>IV. Tổng hàng tồn kho</t>
  </si>
  <si>
    <t>V. Tài sản ngắn hạn khác</t>
  </si>
  <si>
    <t>B. Tài sản cố định và đầu tư dài hạn</t>
  </si>
  <si>
    <t>I. Các khoản phải thu dài hạn</t>
  </si>
  <si>
    <t>II. Tài sản cố định</t>
  </si>
  <si>
    <t>III. Bất động sản đầu tư</t>
  </si>
  <si>
    <t>IV. Tài sản dở dang dài hạn</t>
  </si>
  <si>
    <t>V. Các khoản đầu tư tài chính dài hạn</t>
  </si>
  <si>
    <t>VI. Tổng tài sản dài hạn khác</t>
  </si>
  <si>
    <t>VII. Lợi thế thương mại</t>
  </si>
  <si>
    <t>TỔNG CỘNG TÀI SẢN</t>
  </si>
  <si>
    <t>NGUỒN VỐN</t>
  </si>
  <si>
    <t>A. Nợ phải trả</t>
  </si>
  <si>
    <t>I. Nợ ngắn hạn</t>
  </si>
  <si>
    <t>II. Nợ dài hạn</t>
  </si>
  <si>
    <t>B. Nguồn vốn chủ sở hữu</t>
  </si>
  <si>
    <t>I. Vốn chủ sở hữu</t>
  </si>
  <si>
    <t>II. Nguồn kinh phí và quỹ khác</t>
  </si>
  <si>
    <t>TỔNG CỘNG NGUỒN VỐN</t>
  </si>
  <si>
    <t>1. Tổng doanh thu hoạt động kinh doanh</t>
  </si>
  <si>
    <t>2. Các khoản giảm trừ doanh thu</t>
  </si>
  <si>
    <t>3. Doanh thu thuần</t>
  </si>
  <si>
    <t>4. Giá vốn hàng bán</t>
  </si>
  <si>
    <t>5. Lợi nhuận gộp</t>
  </si>
  <si>
    <t>6. Doanh thu hoạt động tài chính</t>
  </si>
  <si>
    <t>7. Chi phí tài chính</t>
  </si>
  <si>
    <t>Trong đó: Chi phí lãi vay</t>
  </si>
  <si>
    <t>8. Phần lãi lỗ trong công ty liên doanh, liên kết</t>
  </si>
  <si>
    <t>9. Chi phí bán hàng</t>
  </si>
  <si>
    <t>10. Chi phí quản lý doanh nghiệp</t>
  </si>
  <si>
    <t>11. Lợi nhuận thuần từ hoạt động kinh doanh</t>
  </si>
  <si>
    <t>12. Thu nhập khác</t>
  </si>
  <si>
    <t>13. Chi phí khác</t>
  </si>
  <si>
    <t>14. Lợi nhuận khác</t>
  </si>
  <si>
    <t>15. Tổng lợi nhuận kế toán trước thuế</t>
  </si>
  <si>
    <t>16. Chi phí thuế TNDN hiện hành</t>
  </si>
  <si>
    <t>17. Chi phí thuế TNDN hoãn lại</t>
  </si>
  <si>
    <t>18. Lợi nhuận sau thuế thu nhập doanh nghiệp</t>
  </si>
  <si>
    <t>19. Lãi cơ bản trên cổ phiếu</t>
  </si>
  <si>
    <t>Yêu cầu</t>
  </si>
  <si>
    <t>3.1 Tính các chỉ số sau (1 điểm)</t>
  </si>
  <si>
    <t>Hệ số thanh toán tổng quát = Tổng Tài sản/Tổng nợ</t>
  </si>
  <si>
    <t>Hệ số khả năng thanh toán nhanh = (Tài sản lưu động - tồn kho)/nợ ngắn hạn</t>
  </si>
  <si>
    <t>Hệ số khả năng thanh toán nợ dài hạn = TS DH/Tổng Nợ DH</t>
  </si>
  <si>
    <t>ROE = LN sau thuế/Vốn chủ sở hữu</t>
  </si>
  <si>
    <t>ROS = LN sau thuế/Doanh thu thuần</t>
  </si>
  <si>
    <t>3.2 Tính tốc độ tăng trưởng doanh thu và vẽ đồ thị line thể hiện (0,5 điểm)</t>
  </si>
  <si>
    <t>Tốc độ tăng trưởng doanh thu</t>
  </si>
  <si>
    <t>3.3 Tính tỷ trọng và vẽ biểu đồ hình bánh thể hiện cấu trúc vốn của Công ty X năm 2022 (0,5 điểm)</t>
  </si>
  <si>
    <t>Tỷ trọng</t>
  </si>
  <si>
    <t>Nợ ngắn hạn/Tổng nguồn</t>
  </si>
  <si>
    <t>Nợ dài hạn/Tổng nguồn</t>
  </si>
  <si>
    <t>Vốn chủ sở hữu/Tổng nguồn</t>
  </si>
  <si>
    <t>Câu 2: (2 điểm)</t>
  </si>
  <si>
    <r>
      <t xml:space="preserve">VD đặt tên file bài nộp: </t>
    </r>
    <r>
      <rPr>
        <b/>
        <sz val="12"/>
        <color theme="7" tint="-0.499984740745262"/>
        <rFont val="Times New Roman"/>
        <family val="1"/>
      </rPr>
      <t xml:space="preserve"> Nguyen Van A_MSSV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</si>
</sst>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1" formatCode="_(* #,##0_);_(* \(#,##0\);_(*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2"/>
      <name val="Times New Roman"/>
      <family val="1"/>
    </font>
    <font>
      <b/>
      <i/>
      <sz val="12"/>
      <name val="Times New Roman"/>
      <family val="1"/>
    </font>
    <font>
      <b/>
      <sz val="12"/>
      <color theme="1"/>
      <name val="Times New Roman"/>
      <family val="1"/>
    </font>
    <font>
      <sz val="12"/>
      <color theme="1"/>
      <name val="Times New Roman"/>
      <family val="1"/>
    </font>
    <font>
      <sz val="12"/>
      <name val="Times New Roman"/>
      <family val="1"/>
    </font>
    <font>
      <i/>
      <sz val="12"/>
      <name val="Times New Roman"/>
      <family val="1"/>
    </font>
    <font>
      <sz val="11"/>
      <name val="Times New Roman"/>
      <family val="1"/>
    </font>
    <font>
      <sz val="13"/>
      <color theme="1"/>
      <name val="Times New Roman"/>
      <family val="1"/>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
      <b/>
      <sz val="11"/>
      <name val="Times New Roman"/>
      <family val="1"/>
    </font>
    <font>
      <b/>
      <sz val="13"/>
      <color theme="1"/>
      <name val="Times New Roman"/>
      <family val="1"/>
    </font>
    <font>
      <b/>
      <sz val="12"/>
      <color rgb="FF014377"/>
      <name val="Times New Roman"/>
      <family val="1"/>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cellStyleXfs>
  <cellXfs count="115">
    <xf numFmtId="0" fontId="0" fillId="0" borderId="0" xfId="0"/>
    <xf numFmtId="0" fontId="2" fillId="0" borderId="0" xfId="0" applyFont="1"/>
    <xf numFmtId="43" fontId="3" fillId="0" borderId="0" xfId="1" applyFont="1" applyFill="1" applyBorder="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6" fillId="0" borderId="0" xfId="0" applyFont="1"/>
    <xf numFmtId="9" fontId="6" fillId="0" borderId="0" xfId="2" applyFont="1" applyFill="1" applyBorder="1"/>
    <xf numFmtId="164" fontId="6" fillId="0" borderId="0" xfId="1" applyNumberFormat="1" applyFont="1" applyFill="1" applyBorder="1"/>
    <xf numFmtId="9" fontId="6" fillId="0" borderId="0" xfId="0" applyNumberFormat="1" applyFont="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left" vertical="center" wrapText="1"/>
    </xf>
    <xf numFmtId="43" fontId="6" fillId="0" borderId="0" xfId="1" applyFont="1" applyFill="1" applyBorder="1"/>
    <xf numFmtId="0" fontId="6" fillId="0" borderId="1" xfId="0" applyFont="1" applyBorder="1"/>
    <xf numFmtId="0" fontId="3" fillId="0" borderId="1" xfId="0" applyFont="1" applyBorder="1" applyAlignment="1">
      <alignment horizontal="right" vertical="center" wrapText="1"/>
    </xf>
    <xf numFmtId="0" fontId="6" fillId="0" borderId="0" xfId="1" applyNumberFormat="1" applyFont="1" applyBorder="1" applyAlignment="1">
      <alignment horizontal="right" vertical="center" wrapText="1"/>
    </xf>
    <xf numFmtId="0" fontId="6" fillId="0" borderId="0" xfId="1" applyNumberFormat="1" applyFont="1" applyFill="1" applyBorder="1" applyAlignment="1">
      <alignment horizontal="right"/>
    </xf>
    <xf numFmtId="0" fontId="6" fillId="0" borderId="0" xfId="1" applyNumberFormat="1" applyFont="1" applyFill="1" applyBorder="1"/>
    <xf numFmtId="9" fontId="6" fillId="0" borderId="0" xfId="0" applyNumberFormat="1" applyFont="1" applyAlignment="1">
      <alignment horizontal="right" vertical="center" wrapText="1"/>
    </xf>
    <xf numFmtId="164" fontId="6" fillId="0" borderId="0" xfId="0" applyNumberFormat="1" applyFont="1"/>
    <xf numFmtId="0" fontId="6" fillId="0" borderId="0" xfId="1" applyNumberFormat="1" applyFont="1" applyBorder="1"/>
    <xf numFmtId="0" fontId="5" fillId="0" borderId="0" xfId="0" applyFont="1"/>
    <xf numFmtId="0" fontId="3" fillId="0" borderId="0" xfId="1" applyNumberFormat="1" applyFont="1" applyFill="1" applyBorder="1"/>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6" fillId="0" borderId="0" xfId="2" applyNumberFormat="1" applyFont="1" applyBorder="1"/>
    <xf numFmtId="0" fontId="2" fillId="0" borderId="0" xfId="0" applyFont="1" applyAlignment="1">
      <alignment horizontal="left" vertical="center"/>
    </xf>
    <xf numFmtId="9" fontId="6" fillId="0" borderId="0" xfId="0" applyNumberFormat="1" applyFont="1"/>
    <xf numFmtId="0" fontId="6" fillId="0" borderId="0" xfId="2" applyNumberFormat="1" applyFont="1" applyFill="1" applyBorder="1"/>
    <xf numFmtId="0" fontId="8" fillId="0" borderId="0" xfId="0" applyFont="1"/>
    <xf numFmtId="0" fontId="9" fillId="0" borderId="0" xfId="0" applyFont="1"/>
    <xf numFmtId="0" fontId="2" fillId="0" borderId="0" xfId="0" applyFont="1" applyAlignment="1">
      <alignment vertical="center"/>
    </xf>
    <xf numFmtId="0" fontId="5" fillId="0" borderId="0" xfId="0" applyFont="1" applyAlignment="1">
      <alignment horizontal="left"/>
    </xf>
    <xf numFmtId="0" fontId="4" fillId="0" borderId="0" xfId="0" applyFont="1"/>
    <xf numFmtId="0" fontId="4" fillId="0" borderId="0" xfId="0" applyFont="1" applyAlignment="1">
      <alignment horizontal="right"/>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11" fillId="0" borderId="0" xfId="0" applyFont="1"/>
    <xf numFmtId="0" fontId="13" fillId="0" borderId="0" xfId="0" applyFont="1" applyAlignment="1">
      <alignment horizontal="center" vertical="center"/>
    </xf>
    <xf numFmtId="0" fontId="4" fillId="0" borderId="1" xfId="0" applyFont="1" applyBorder="1" applyAlignment="1">
      <alignment horizontal="center" vertical="center"/>
    </xf>
    <xf numFmtId="2" fontId="10"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1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0" fontId="6" fillId="0" borderId="0" xfId="0" quotePrefix="1" applyFont="1" applyAlignment="1">
      <alignment horizontal="left" vertical="center" indent="5"/>
    </xf>
    <xf numFmtId="0" fontId="6" fillId="0" borderId="0" xfId="0" applyFont="1" applyAlignment="1">
      <alignment horizontal="left" vertical="center" indent="5"/>
    </xf>
    <xf numFmtId="8" fontId="6" fillId="0" borderId="0" xfId="0" applyNumberFormat="1" applyFont="1"/>
    <xf numFmtId="0" fontId="6" fillId="0" borderId="0" xfId="0" applyFont="1" applyAlignment="1">
      <alignment horizontal="center"/>
    </xf>
    <xf numFmtId="8" fontId="6" fillId="0" borderId="0" xfId="0" applyNumberFormat="1" applyFont="1" applyAlignment="1">
      <alignment horizontal="left" vertical="center" indent="5"/>
    </xf>
    <xf numFmtId="0" fontId="16" fillId="0" borderId="0" xfId="0" applyFont="1"/>
    <xf numFmtId="2" fontId="6" fillId="0" borderId="0" xfId="0" applyNumberFormat="1" applyFont="1"/>
    <xf numFmtId="0" fontId="7" fillId="0" borderId="1" xfId="0" applyFont="1" applyBorder="1"/>
    <xf numFmtId="0" fontId="8" fillId="0" borderId="1" xfId="0" applyFont="1" applyBorder="1"/>
    <xf numFmtId="2" fontId="8" fillId="0" borderId="1" xfId="0" applyNumberFormat="1" applyFont="1" applyBorder="1"/>
    <xf numFmtId="0" fontId="16" fillId="0" borderId="1" xfId="0" applyFont="1" applyBorder="1"/>
    <xf numFmtId="9" fontId="3" fillId="0" borderId="1" xfId="0" applyNumberFormat="1" applyFont="1" applyBorder="1" applyAlignment="1">
      <alignment horizontal="right"/>
    </xf>
    <xf numFmtId="0" fontId="3" fillId="0" borderId="1" xfId="0" applyFont="1" applyBorder="1"/>
    <xf numFmtId="9" fontId="0" fillId="0" borderId="0" xfId="0" applyNumberFormat="1"/>
    <xf numFmtId="0" fontId="6" fillId="0" borderId="1" xfId="1" applyNumberFormat="1" applyFont="1" applyBorder="1"/>
    <xf numFmtId="0" fontId="10" fillId="2" borderId="0" xfId="0" applyFont="1" applyFill="1"/>
    <xf numFmtId="2" fontId="10" fillId="2" borderId="0" xfId="0" applyNumberFormat="1" applyFont="1" applyFill="1"/>
    <xf numFmtId="0" fontId="2" fillId="0" borderId="1" xfId="0" applyFont="1" applyBorder="1"/>
    <xf numFmtId="0" fontId="2" fillId="0" borderId="1" xfId="1" applyNumberFormat="1" applyFont="1" applyBorder="1"/>
    <xf numFmtId="0" fontId="2" fillId="0" borderId="1" xfId="0" applyFont="1" applyBorder="1" applyAlignment="1">
      <alignment horizontal="right"/>
    </xf>
    <xf numFmtId="9" fontId="6" fillId="0" borderId="0" xfId="1" applyNumberFormat="1" applyFont="1" applyFill="1" applyBorder="1" applyAlignment="1">
      <alignment horizontal="right"/>
    </xf>
    <xf numFmtId="9" fontId="6" fillId="0" borderId="0" xfId="0" applyNumberFormat="1" applyFont="1" applyAlignment="1">
      <alignment horizontal="left" vertical="center" wrapText="1"/>
    </xf>
    <xf numFmtId="9" fontId="6" fillId="0" borderId="0" xfId="1" applyNumberFormat="1" applyFont="1" applyFill="1" applyBorder="1"/>
    <xf numFmtId="0" fontId="2" fillId="0" borderId="0" xfId="0" applyFont="1" applyAlignment="1">
      <alignment horizontal="left" vertical="center" wrapText="1"/>
    </xf>
    <xf numFmtId="9" fontId="6" fillId="0" borderId="0" xfId="2" applyFont="1" applyBorder="1" applyAlignment="1">
      <alignment horizontal="right" vertical="center" wrapText="1"/>
    </xf>
    <xf numFmtId="0" fontId="6" fillId="0" borderId="0" xfId="0" quotePrefix="1" applyFont="1" applyAlignment="1">
      <alignment horizontal="left" vertical="center" wrapText="1"/>
    </xf>
    <xf numFmtId="0" fontId="6" fillId="0" borderId="0" xfId="0" applyFont="1" applyAlignment="1">
      <alignment vertical="center" wrapText="1"/>
    </xf>
    <xf numFmtId="0" fontId="3" fillId="0" borderId="1" xfId="0" applyFont="1" applyBorder="1" applyAlignment="1">
      <alignment horizontal="right"/>
    </xf>
    <xf numFmtId="1" fontId="3" fillId="0" borderId="1" xfId="0" applyNumberFormat="1" applyFont="1" applyBorder="1"/>
    <xf numFmtId="2" fontId="6" fillId="0" borderId="1" xfId="1" applyNumberFormat="1" applyFont="1" applyBorder="1"/>
    <xf numFmtId="2" fontId="2" fillId="0" borderId="1" xfId="1" applyNumberFormat="1" applyFont="1" applyBorder="1"/>
    <xf numFmtId="2" fontId="6" fillId="0" borderId="1" xfId="0" applyNumberFormat="1" applyFont="1" applyBorder="1"/>
    <xf numFmtId="0" fontId="3" fillId="0" borderId="2" xfId="0" applyFont="1" applyBorder="1"/>
    <xf numFmtId="0" fontId="3" fillId="0" borderId="3" xfId="0" applyFont="1" applyBorder="1"/>
    <xf numFmtId="0" fontId="6" fillId="0" borderId="1" xfId="0" applyFont="1" applyBorder="1" applyAlignment="1">
      <alignment horizontal="left" vertical="center" wrapText="1"/>
    </xf>
    <xf numFmtId="0" fontId="5" fillId="0" borderId="1" xfId="0" applyFont="1" applyBorder="1"/>
    <xf numFmtId="0" fontId="9" fillId="0" borderId="1" xfId="0" applyFont="1" applyBorder="1"/>
    <xf numFmtId="0" fontId="17" fillId="0" borderId="1" xfId="0" applyFont="1" applyBorder="1"/>
    <xf numFmtId="0" fontId="0" fillId="0" borderId="1" xfId="0" applyBorder="1"/>
    <xf numFmtId="2" fontId="2" fillId="0" borderId="1" xfId="0" applyNumberFormat="1" applyFont="1" applyBorder="1"/>
    <xf numFmtId="164" fontId="5" fillId="0" borderId="0" xfId="1" applyNumberFormat="1" applyFont="1"/>
    <xf numFmtId="0" fontId="4" fillId="0" borderId="1" xfId="0" applyFont="1" applyBorder="1"/>
    <xf numFmtId="164" fontId="4" fillId="0" borderId="1" xfId="1" applyNumberFormat="1" applyFont="1" applyBorder="1"/>
    <xf numFmtId="41" fontId="4" fillId="0" borderId="1" xfId="3" applyFont="1" applyBorder="1"/>
    <xf numFmtId="164" fontId="5" fillId="0" borderId="1" xfId="1" applyNumberFormat="1" applyFont="1" applyBorder="1"/>
    <xf numFmtId="41" fontId="5" fillId="0" borderId="1" xfId="3" applyFont="1" applyBorder="1"/>
    <xf numFmtId="0" fontId="5" fillId="0" borderId="1" xfId="0" quotePrefix="1" applyFont="1" applyBorder="1"/>
    <xf numFmtId="41" fontId="5" fillId="0" borderId="0" xfId="3" applyFont="1"/>
    <xf numFmtId="0" fontId="4" fillId="0" borderId="1" xfId="0" applyFont="1" applyBorder="1" applyAlignment="1">
      <alignment horizontal="right"/>
    </xf>
    <xf numFmtId="0" fontId="18" fillId="0" borderId="0" xfId="0" applyFont="1" applyAlignment="1">
      <alignment vertical="center" wrapText="1"/>
    </xf>
    <xf numFmtId="0" fontId="18" fillId="0" borderId="1" xfId="0" applyFont="1" applyBorder="1" applyAlignment="1">
      <alignment vertical="center" wrapText="1"/>
    </xf>
    <xf numFmtId="0" fontId="5" fillId="0" borderId="1" xfId="0" applyFont="1" applyBorder="1" applyAlignment="1">
      <alignment vertical="center" wrapText="1"/>
    </xf>
    <xf numFmtId="2" fontId="5" fillId="0" borderId="1" xfId="1" applyNumberFormat="1" applyFont="1" applyBorder="1"/>
    <xf numFmtId="0" fontId="5" fillId="0" borderId="0" xfId="0" applyFont="1" applyAlignment="1">
      <alignment horizontal="right"/>
    </xf>
    <xf numFmtId="9" fontId="5" fillId="0" borderId="0" xfId="2" applyFont="1"/>
    <xf numFmtId="10" fontId="5" fillId="0" borderId="0" xfId="2" applyNumberFormat="1" applyFont="1" applyAlignment="1">
      <alignment horizontal="right"/>
    </xf>
    <xf numFmtId="164" fontId="5" fillId="0" borderId="0" xfId="0" applyNumberFormat="1" applyFont="1"/>
    <xf numFmtId="0" fontId="4" fillId="0" borderId="0" xfId="0" applyFont="1" applyAlignment="1">
      <alignment horizontal="center"/>
    </xf>
    <xf numFmtId="0" fontId="2" fillId="0" borderId="0" xfId="0" applyFont="1" applyAlignment="1">
      <alignment horizontal="left" vertical="center"/>
    </xf>
    <xf numFmtId="0" fontId="5" fillId="0" borderId="0" xfId="0" applyFont="1" applyAlignment="1">
      <alignment horizontal="center"/>
    </xf>
    <xf numFmtId="0" fontId="10" fillId="2" borderId="0" xfId="0" applyFont="1" applyFill="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5">
    <cellStyle name="Comma" xfId="1" builtinId="3"/>
    <cellStyle name="Comma [0]" xfId="3" builtinId="6"/>
    <cellStyle name="Comma 7" xfId="4" xr:uid="{724D6C58-4DFB-4957-B936-80DA5DE3D6AD}"/>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'câu 3'!$B$62:$B$65</c:f>
              <c:numCache>
                <c:formatCode>General</c:formatCode>
                <c:ptCount val="4"/>
                <c:pt idx="0">
                  <c:v>2019</c:v>
                </c:pt>
                <c:pt idx="1">
                  <c:v>2020</c:v>
                </c:pt>
                <c:pt idx="2">
                  <c:v>2021</c:v>
                </c:pt>
                <c:pt idx="3">
                  <c:v>2022</c:v>
                </c:pt>
              </c:numCache>
            </c:numRef>
          </c:cat>
          <c:val>
            <c:numRef>
              <c:f>'câu 3'!$C$62:$C$65</c:f>
              <c:numCache>
                <c:formatCode>0%</c:formatCode>
                <c:ptCount val="4"/>
                <c:pt idx="0">
                  <c:v>0</c:v>
                </c:pt>
                <c:pt idx="1">
                  <c:v>7.1461823510230227E-2</c:v>
                </c:pt>
                <c:pt idx="2">
                  <c:v>5.8918218506353703E-2</c:v>
                </c:pt>
                <c:pt idx="3">
                  <c:v>2.1511712110091841E-2</c:v>
                </c:pt>
              </c:numCache>
            </c:numRef>
          </c:val>
          <c:smooth val="0"/>
          <c:extLst>
            <c:ext xmlns:c16="http://schemas.microsoft.com/office/drawing/2014/chart" uri="{C3380CC4-5D6E-409C-BE32-E72D297353CC}">
              <c16:uniqueId val="{00000000-ED71-4659-AD0A-46CA3814F265}"/>
            </c:ext>
          </c:extLst>
        </c:ser>
        <c:dLbls>
          <c:dLblPos val="t"/>
          <c:showLegendKey val="0"/>
          <c:showVal val="1"/>
          <c:showCatName val="0"/>
          <c:showSerName val="0"/>
          <c:showPercent val="0"/>
          <c:showBubbleSize val="0"/>
        </c:dLbls>
        <c:smooth val="0"/>
        <c:axId val="490310064"/>
        <c:axId val="654600288"/>
      </c:lineChart>
      <c:catAx>
        <c:axId val="49031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600288"/>
        <c:crosses val="autoZero"/>
        <c:auto val="1"/>
        <c:lblAlgn val="ctr"/>
        <c:lblOffset val="100"/>
        <c:noMultiLvlLbl val="0"/>
      </c:catAx>
      <c:valAx>
        <c:axId val="65460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31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E02-4588-986B-D43D2F4E2CC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E02-4588-986B-D43D2F4E2CC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E02-4588-986B-D43D2F4E2CC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'câu 3'!$B$73:$B$75</c:f>
              <c:strCache>
                <c:ptCount val="3"/>
                <c:pt idx="0">
                  <c:v>Nợ ngắn hạn/Tổng nguồn</c:v>
                </c:pt>
                <c:pt idx="1">
                  <c:v>Nợ dài hạn/Tổng nguồn</c:v>
                </c:pt>
                <c:pt idx="2">
                  <c:v>Vốn chủ sở hữu/Tổng nguồn</c:v>
                </c:pt>
              </c:strCache>
            </c:strRef>
          </c:cat>
          <c:val>
            <c:numRef>
              <c:f>'câu 3'!$C$73:$C$75</c:f>
              <c:numCache>
                <c:formatCode>0.00%</c:formatCode>
                <c:ptCount val="3"/>
                <c:pt idx="0">
                  <c:v>0.28473909627386568</c:v>
                </c:pt>
                <c:pt idx="1">
                  <c:v>1.2180753339941289E-2</c:v>
                </c:pt>
                <c:pt idx="2">
                  <c:v>0.70308015038619298</c:v>
                </c:pt>
              </c:numCache>
            </c:numRef>
          </c:val>
          <c:extLst>
            <c:ext xmlns:c16="http://schemas.microsoft.com/office/drawing/2014/chart" uri="{C3380CC4-5D6E-409C-BE32-E72D297353CC}">
              <c16:uniqueId val="{00000000-D651-4B5C-8550-2A0A6A68BE29}"/>
            </c:ext>
          </c:extLst>
        </c:ser>
        <c:dLbls>
          <c:dLblPos val="ctr"/>
          <c:showLegendKey val="0"/>
          <c:showVal val="1"/>
          <c:showCatName val="0"/>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998220</xdr:colOff>
      <xdr:row>56</xdr:row>
      <xdr:rowOff>194310</xdr:rowOff>
    </xdr:from>
    <xdr:to>
      <xdr:col>7</xdr:col>
      <xdr:colOff>297180</xdr:colOff>
      <xdr:row>69</xdr:row>
      <xdr:rowOff>163830</xdr:rowOff>
    </xdr:to>
    <xdr:graphicFrame macro="">
      <xdr:nvGraphicFramePr>
        <xdr:cNvPr id="4" name="Chart 3">
          <a:extLst>
            <a:ext uri="{FF2B5EF4-FFF2-40B4-BE49-F238E27FC236}">
              <a16:creationId xmlns:a16="http://schemas.microsoft.com/office/drawing/2014/main" id="{32FC5919-78B4-6B33-7DD4-83E4BE668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259080</xdr:colOff>
      <xdr:row>70</xdr:row>
      <xdr:rowOff>194310</xdr:rowOff>
    </xdr:from>
    <xdr:to>
      <xdr:col>8</xdr:col>
      <xdr:colOff>502920</xdr:colOff>
      <xdr:row>82</xdr:row>
      <xdr:rowOff>163830</xdr:rowOff>
    </xdr:to>
    <xdr:graphicFrame macro="">
      <xdr:nvGraphicFramePr>
        <xdr:cNvPr id="5" name="Chart 4">
          <a:extLst>
            <a:ext uri="{FF2B5EF4-FFF2-40B4-BE49-F238E27FC236}">
              <a16:creationId xmlns:a16="http://schemas.microsoft.com/office/drawing/2014/main" id="{5135DA99-B92B-E61B-B822-EC1AF0C1FD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5016-E490-451B-9FD6-22A2F24918D1}">
  <dimension ref="A2:O35"/>
  <sheetViews>
    <sheetView tabSelected="1" topLeftCell="A6" workbookViewId="0">
      <selection activeCell="B13" sqref="B13"/>
    </sheetView>
  </sheetViews>
  <sheetFormatPr defaultRowHeight="13.8" x14ac:dyDescent="0.25"/>
  <cols>
    <col min="1" max="1" width="8.88671875" style="32"/>
    <col min="2" max="2" width="19.77734375" style="32" customWidth="1"/>
    <col min="3" max="3" width="17.77734375" style="32" customWidth="1"/>
    <col min="4" max="4" width="12.77734375" style="32" customWidth="1"/>
    <col min="5" max="5" width="9.6640625" style="32" customWidth="1"/>
    <col min="6" max="6" width="12.77734375" style="32" customWidth="1"/>
    <col min="7" max="16384" width="8.88671875" style="32"/>
  </cols>
  <sheetData>
    <row r="2" spans="1:8" s="23" customFormat="1" ht="15.6" x14ac:dyDescent="0.3">
      <c r="A2" s="34" t="s">
        <v>32</v>
      </c>
      <c r="B2" s="34"/>
      <c r="C2" s="35"/>
    </row>
    <row r="3" spans="1:8" s="23" customFormat="1" ht="15.6" x14ac:dyDescent="0.3">
      <c r="A3" s="34" t="s">
        <v>33</v>
      </c>
      <c r="B3" s="34"/>
      <c r="C3" s="35"/>
      <c r="D3" s="108" t="s">
        <v>34</v>
      </c>
      <c r="E3" s="108"/>
      <c r="F3" s="108"/>
    </row>
    <row r="4" spans="1:8" s="23" customFormat="1" ht="15.6" x14ac:dyDescent="0.3">
      <c r="A4" s="109" t="s">
        <v>35</v>
      </c>
      <c r="B4" s="109"/>
      <c r="C4" s="109"/>
      <c r="D4" s="110" t="s">
        <v>36</v>
      </c>
      <c r="E4" s="110"/>
      <c r="F4" s="110"/>
    </row>
    <row r="5" spans="1:8" s="23" customFormat="1" ht="15.6" x14ac:dyDescent="0.3">
      <c r="A5" s="109" t="s">
        <v>37</v>
      </c>
      <c r="B5" s="109"/>
      <c r="D5" s="36" t="s">
        <v>38</v>
      </c>
      <c r="E5" s="37" t="s">
        <v>39</v>
      </c>
      <c r="F5" s="36" t="s">
        <v>40</v>
      </c>
    </row>
    <row r="6" spans="1:8" s="23" customFormat="1" ht="15.6" x14ac:dyDescent="0.3">
      <c r="A6" s="38" t="s">
        <v>41</v>
      </c>
      <c r="B6" s="7"/>
    </row>
    <row r="7" spans="1:8" s="23" customFormat="1" ht="15.6" x14ac:dyDescent="0.3">
      <c r="A7" s="34" t="s">
        <v>42</v>
      </c>
      <c r="B7" s="7"/>
    </row>
    <row r="8" spans="1:8" s="40" customFormat="1" ht="15.6" x14ac:dyDescent="0.3">
      <c r="A8" s="39" t="s">
        <v>43</v>
      </c>
      <c r="C8" s="41" t="s">
        <v>44</v>
      </c>
    </row>
    <row r="9" spans="1:8" s="23" customFormat="1" ht="15.6" x14ac:dyDescent="0.3">
      <c r="A9" s="42" t="s">
        <v>45</v>
      </c>
      <c r="B9" s="43" t="s">
        <v>46</v>
      </c>
      <c r="C9" s="43" t="s">
        <v>47</v>
      </c>
      <c r="D9" s="43" t="s">
        <v>48</v>
      </c>
      <c r="E9" s="43" t="s">
        <v>49</v>
      </c>
    </row>
    <row r="10" spans="1:8" s="23" customFormat="1" ht="15.6" x14ac:dyDescent="0.3">
      <c r="A10" s="44">
        <f>A15+'câu 2'!A1+'câu 3'!A1+'câu 4'!A2</f>
        <v>10</v>
      </c>
      <c r="B10" s="45"/>
      <c r="C10" s="46"/>
      <c r="D10" s="46"/>
      <c r="E10" s="46">
        <v>1</v>
      </c>
    </row>
    <row r="11" spans="1:8" s="23" customFormat="1" ht="16.5" customHeight="1" x14ac:dyDescent="0.3">
      <c r="A11" s="32"/>
      <c r="B11" s="111" t="s">
        <v>50</v>
      </c>
      <c r="C11" s="111"/>
      <c r="D11" s="111"/>
      <c r="E11" s="111"/>
      <c r="F11" s="111"/>
      <c r="G11" s="111"/>
    </row>
    <row r="12" spans="1:8" s="23" customFormat="1" ht="16.5" customHeight="1" x14ac:dyDescent="0.3">
      <c r="A12" s="32"/>
      <c r="B12" s="47" t="s">
        <v>51</v>
      </c>
      <c r="C12" s="48"/>
      <c r="D12" s="48"/>
      <c r="E12" s="48"/>
    </row>
    <row r="13" spans="1:8" s="23" customFormat="1" ht="16.5" customHeight="1" x14ac:dyDescent="0.3">
      <c r="A13" s="32"/>
      <c r="B13" s="49" t="s">
        <v>184</v>
      </c>
      <c r="C13" s="48"/>
      <c r="D13" s="48"/>
      <c r="E13" s="48"/>
    </row>
    <row r="15" spans="1:8" ht="15.6" x14ac:dyDescent="0.3">
      <c r="A15" s="56">
        <f>A21+A24+A27</f>
        <v>2</v>
      </c>
      <c r="B15" s="1" t="s">
        <v>77</v>
      </c>
    </row>
    <row r="16" spans="1:8" ht="15.6" x14ac:dyDescent="0.3">
      <c r="B16" s="50" t="s">
        <v>53</v>
      </c>
      <c r="C16" s="7"/>
      <c r="D16" s="7"/>
      <c r="E16" s="7"/>
      <c r="F16" s="7"/>
      <c r="G16" s="7"/>
      <c r="H16" s="7"/>
    </row>
    <row r="17" spans="1:15" ht="15.6" x14ac:dyDescent="0.3">
      <c r="B17" s="51" t="s">
        <v>52</v>
      </c>
      <c r="C17" s="7"/>
      <c r="D17" s="7"/>
      <c r="E17" s="7"/>
      <c r="F17" s="7"/>
      <c r="G17" s="7"/>
      <c r="H17" s="7"/>
    </row>
    <row r="18" spans="1:15" ht="15.6" x14ac:dyDescent="0.3">
      <c r="B18" s="51" t="s">
        <v>65</v>
      </c>
      <c r="C18" s="7"/>
      <c r="D18" s="7"/>
      <c r="E18" s="7"/>
      <c r="F18" s="7"/>
      <c r="G18" s="7"/>
      <c r="H18" s="7"/>
    </row>
    <row r="19" spans="1:15" ht="15.6" x14ac:dyDescent="0.3">
      <c r="B19" s="51" t="s">
        <v>63</v>
      </c>
      <c r="C19" s="7"/>
      <c r="D19" s="7"/>
      <c r="E19" s="7"/>
      <c r="F19" s="7"/>
      <c r="G19" s="7"/>
      <c r="H19" s="7"/>
    </row>
    <row r="20" spans="1:15" ht="15.6" x14ac:dyDescent="0.3">
      <c r="B20" s="50" t="s">
        <v>0</v>
      </c>
      <c r="C20" s="7"/>
      <c r="D20" s="7"/>
      <c r="E20" s="7"/>
      <c r="F20" s="7"/>
      <c r="G20" s="7"/>
      <c r="H20" s="7"/>
    </row>
    <row r="21" spans="1:15" ht="15.6" x14ac:dyDescent="0.3">
      <c r="A21" s="32">
        <v>0.5</v>
      </c>
      <c r="B21" s="52" t="s">
        <v>54</v>
      </c>
      <c r="C21" s="7"/>
      <c r="D21" s="7"/>
      <c r="E21" s="7"/>
      <c r="F21" s="7"/>
      <c r="G21" s="7"/>
      <c r="H21" s="7"/>
    </row>
    <row r="22" spans="1:15" ht="15.6" x14ac:dyDescent="0.3">
      <c r="B22" s="55">
        <f>PMT(6%/12,12*2,,100)</f>
        <v>-3.9320610252756896</v>
      </c>
      <c r="C22" s="53"/>
      <c r="D22" s="7"/>
      <c r="E22" s="7"/>
      <c r="F22" s="7"/>
      <c r="G22" s="7"/>
      <c r="H22" s="7"/>
    </row>
    <row r="23" spans="1:15" ht="15.6" x14ac:dyDescent="0.3">
      <c r="B23" s="55"/>
      <c r="C23" s="53"/>
      <c r="D23" s="7"/>
      <c r="E23" s="7"/>
      <c r="F23" s="7"/>
      <c r="G23" s="7"/>
      <c r="H23" s="7"/>
    </row>
    <row r="24" spans="1:15" ht="15.6" x14ac:dyDescent="0.3">
      <c r="A24" s="32">
        <v>0.5</v>
      </c>
      <c r="B24" s="52" t="s">
        <v>66</v>
      </c>
      <c r="C24" s="7"/>
      <c r="D24" s="7"/>
      <c r="E24" s="7"/>
      <c r="F24" s="7"/>
      <c r="G24" s="7"/>
      <c r="H24" s="7"/>
    </row>
    <row r="25" spans="1:15" ht="15.6" x14ac:dyDescent="0.3">
      <c r="B25" s="57">
        <f>FV(8%/2,5*2,-20)</f>
        <v>240.12214245917227</v>
      </c>
      <c r="C25" s="30"/>
      <c r="E25" s="7"/>
      <c r="F25" s="7"/>
      <c r="G25" s="7"/>
      <c r="H25" s="7"/>
    </row>
    <row r="26" spans="1:15" ht="15.6" x14ac:dyDescent="0.3">
      <c r="B26" s="52"/>
      <c r="C26" s="30"/>
      <c r="D26" s="7"/>
      <c r="E26" s="7"/>
      <c r="F26" s="7"/>
      <c r="G26" s="7"/>
      <c r="H26" s="7"/>
    </row>
    <row r="27" spans="1:15" ht="15.6" x14ac:dyDescent="0.3">
      <c r="A27" s="32">
        <v>1</v>
      </c>
      <c r="B27" s="52" t="s">
        <v>62</v>
      </c>
      <c r="C27" s="7"/>
      <c r="D27" s="7"/>
      <c r="E27" s="7"/>
      <c r="F27" s="7"/>
      <c r="G27" s="7"/>
      <c r="H27" s="7"/>
    </row>
    <row r="28" spans="1:15" ht="16.2" x14ac:dyDescent="0.35">
      <c r="B28" s="62" t="s">
        <v>55</v>
      </c>
      <c r="C28" s="63">
        <v>0</v>
      </c>
      <c r="D28" s="63">
        <v>1</v>
      </c>
      <c r="E28" s="63">
        <v>2</v>
      </c>
      <c r="F28" s="63">
        <v>3</v>
      </c>
      <c r="G28" s="63">
        <v>4</v>
      </c>
      <c r="H28" s="63">
        <v>5</v>
      </c>
      <c r="I28" s="63">
        <v>6</v>
      </c>
      <c r="J28" s="63">
        <v>7</v>
      </c>
      <c r="K28" s="63">
        <v>8</v>
      </c>
      <c r="L28" s="63">
        <v>9</v>
      </c>
      <c r="M28" s="63">
        <v>10</v>
      </c>
      <c r="N28" s="63">
        <v>11</v>
      </c>
      <c r="O28" s="63">
        <v>12</v>
      </c>
    </row>
    <row r="29" spans="1:15" x14ac:dyDescent="0.25">
      <c r="B29" s="59" t="s">
        <v>56</v>
      </c>
      <c r="C29" s="59"/>
      <c r="D29" s="60">
        <f>C35</f>
        <v>100</v>
      </c>
      <c r="E29" s="60">
        <f t="shared" ref="E29:O29" si="0">D35</f>
        <v>91.666666666666671</v>
      </c>
      <c r="F29" s="60">
        <f t="shared" si="0"/>
        <v>83.333333333333343</v>
      </c>
      <c r="G29" s="60">
        <f t="shared" si="0"/>
        <v>75.000000000000014</v>
      </c>
      <c r="H29" s="60">
        <f t="shared" si="0"/>
        <v>66.666666666666686</v>
      </c>
      <c r="I29" s="60">
        <f t="shared" si="0"/>
        <v>58.33333333333335</v>
      </c>
      <c r="J29" s="60">
        <f t="shared" si="0"/>
        <v>50.000000000000014</v>
      </c>
      <c r="K29" s="60">
        <f t="shared" si="0"/>
        <v>41.666666666666679</v>
      </c>
      <c r="L29" s="60">
        <f t="shared" si="0"/>
        <v>33.333333333333343</v>
      </c>
      <c r="M29" s="60">
        <f t="shared" si="0"/>
        <v>25.000000000000007</v>
      </c>
      <c r="N29" s="60">
        <f t="shared" si="0"/>
        <v>16.666666666666671</v>
      </c>
      <c r="O29" s="60">
        <f t="shared" si="0"/>
        <v>8.3333333333333375</v>
      </c>
    </row>
    <row r="30" spans="1:15" x14ac:dyDescent="0.25">
      <c r="B30" s="59" t="s">
        <v>57</v>
      </c>
      <c r="C30" s="59">
        <v>100</v>
      </c>
      <c r="D30" s="60"/>
      <c r="E30" s="60"/>
      <c r="F30" s="60"/>
      <c r="G30" s="60"/>
      <c r="H30" s="60"/>
      <c r="I30" s="60"/>
      <c r="J30" s="60"/>
      <c r="K30" s="60"/>
      <c r="L30" s="60"/>
      <c r="M30" s="60"/>
      <c r="N30" s="60"/>
      <c r="O30" s="60"/>
    </row>
    <row r="31" spans="1:15" x14ac:dyDescent="0.25">
      <c r="B31" s="61" t="s">
        <v>58</v>
      </c>
      <c r="C31" s="59"/>
      <c r="D31" s="60">
        <f>D33+D34</f>
        <v>11.333333333333334</v>
      </c>
      <c r="E31" s="60">
        <f t="shared" ref="E31:O31" si="1">E33+E34</f>
        <v>11.083333333333334</v>
      </c>
      <c r="F31" s="60">
        <f t="shared" si="1"/>
        <v>10.833333333333334</v>
      </c>
      <c r="G31" s="60">
        <f t="shared" si="1"/>
        <v>10.583333333333334</v>
      </c>
      <c r="H31" s="60">
        <f t="shared" si="1"/>
        <v>10.333333333333334</v>
      </c>
      <c r="I31" s="60">
        <f t="shared" si="1"/>
        <v>10.083333333333334</v>
      </c>
      <c r="J31" s="60">
        <f t="shared" si="1"/>
        <v>9.8333333333333339</v>
      </c>
      <c r="K31" s="60">
        <f t="shared" si="1"/>
        <v>9.5833333333333339</v>
      </c>
      <c r="L31" s="60">
        <f t="shared" si="1"/>
        <v>9.3333333333333339</v>
      </c>
      <c r="M31" s="60">
        <f t="shared" si="1"/>
        <v>9.0833333333333339</v>
      </c>
      <c r="N31" s="60">
        <f t="shared" si="1"/>
        <v>8.8333333333333339</v>
      </c>
      <c r="O31" s="60">
        <f t="shared" si="1"/>
        <v>8.5833333333333339</v>
      </c>
    </row>
    <row r="32" spans="1:15" x14ac:dyDescent="0.25">
      <c r="B32" s="59" t="s">
        <v>64</v>
      </c>
      <c r="C32" s="59"/>
      <c r="D32" s="60">
        <f>12%/4</f>
        <v>0.03</v>
      </c>
      <c r="E32" s="60">
        <f t="shared" ref="E32:O32" si="2">12%/4</f>
        <v>0.03</v>
      </c>
      <c r="F32" s="60">
        <f t="shared" si="2"/>
        <v>0.03</v>
      </c>
      <c r="G32" s="60">
        <f t="shared" si="2"/>
        <v>0.03</v>
      </c>
      <c r="H32" s="60">
        <f t="shared" si="2"/>
        <v>0.03</v>
      </c>
      <c r="I32" s="60">
        <f t="shared" si="2"/>
        <v>0.03</v>
      </c>
      <c r="J32" s="60">
        <f t="shared" si="2"/>
        <v>0.03</v>
      </c>
      <c r="K32" s="60">
        <f t="shared" si="2"/>
        <v>0.03</v>
      </c>
      <c r="L32" s="60">
        <f t="shared" si="2"/>
        <v>0.03</v>
      </c>
      <c r="M32" s="60">
        <f t="shared" si="2"/>
        <v>0.03</v>
      </c>
      <c r="N32" s="60">
        <f t="shared" si="2"/>
        <v>0.03</v>
      </c>
      <c r="O32" s="60">
        <f t="shared" si="2"/>
        <v>0.03</v>
      </c>
    </row>
    <row r="33" spans="2:15" x14ac:dyDescent="0.25">
      <c r="B33" s="59" t="s">
        <v>59</v>
      </c>
      <c r="C33" s="59"/>
      <c r="D33" s="60">
        <f>100/12</f>
        <v>8.3333333333333339</v>
      </c>
      <c r="E33" s="60">
        <f t="shared" ref="E33:O33" si="3">100/12</f>
        <v>8.3333333333333339</v>
      </c>
      <c r="F33" s="60">
        <f t="shared" si="3"/>
        <v>8.3333333333333339</v>
      </c>
      <c r="G33" s="60">
        <f t="shared" si="3"/>
        <v>8.3333333333333339</v>
      </c>
      <c r="H33" s="60">
        <f t="shared" si="3"/>
        <v>8.3333333333333339</v>
      </c>
      <c r="I33" s="60">
        <f t="shared" si="3"/>
        <v>8.3333333333333339</v>
      </c>
      <c r="J33" s="60">
        <f t="shared" si="3"/>
        <v>8.3333333333333339</v>
      </c>
      <c r="K33" s="60">
        <f t="shared" si="3"/>
        <v>8.3333333333333339</v>
      </c>
      <c r="L33" s="60">
        <f t="shared" si="3"/>
        <v>8.3333333333333339</v>
      </c>
      <c r="M33" s="60">
        <f t="shared" si="3"/>
        <v>8.3333333333333339</v>
      </c>
      <c r="N33" s="60">
        <f t="shared" si="3"/>
        <v>8.3333333333333339</v>
      </c>
      <c r="O33" s="60">
        <f t="shared" si="3"/>
        <v>8.3333333333333339</v>
      </c>
    </row>
    <row r="34" spans="2:15" x14ac:dyDescent="0.25">
      <c r="B34" s="59" t="s">
        <v>60</v>
      </c>
      <c r="C34" s="59"/>
      <c r="D34" s="60">
        <f>D29*D32</f>
        <v>3</v>
      </c>
      <c r="E34" s="60">
        <f t="shared" ref="E34:O34" si="4">E29*E32</f>
        <v>2.75</v>
      </c>
      <c r="F34" s="60">
        <f t="shared" si="4"/>
        <v>2.5</v>
      </c>
      <c r="G34" s="60">
        <f t="shared" si="4"/>
        <v>2.2500000000000004</v>
      </c>
      <c r="H34" s="60">
        <f t="shared" si="4"/>
        <v>2.0000000000000004</v>
      </c>
      <c r="I34" s="60">
        <f t="shared" si="4"/>
        <v>1.7500000000000004</v>
      </c>
      <c r="J34" s="60">
        <f t="shared" si="4"/>
        <v>1.5000000000000004</v>
      </c>
      <c r="K34" s="60">
        <f t="shared" si="4"/>
        <v>1.2500000000000002</v>
      </c>
      <c r="L34" s="60">
        <f t="shared" si="4"/>
        <v>1.0000000000000002</v>
      </c>
      <c r="M34" s="60">
        <f t="shared" si="4"/>
        <v>0.75000000000000022</v>
      </c>
      <c r="N34" s="60">
        <f t="shared" si="4"/>
        <v>0.50000000000000011</v>
      </c>
      <c r="O34" s="60">
        <f t="shared" si="4"/>
        <v>0.25000000000000011</v>
      </c>
    </row>
    <row r="35" spans="2:15" x14ac:dyDescent="0.25">
      <c r="B35" s="59" t="s">
        <v>61</v>
      </c>
      <c r="C35" s="59">
        <f>C29+C30-C33</f>
        <v>100</v>
      </c>
      <c r="D35" s="60">
        <f>D29+D30-D33</f>
        <v>91.666666666666671</v>
      </c>
      <c r="E35" s="60">
        <f t="shared" ref="E35:O35" si="5">E29+E30-E33</f>
        <v>83.333333333333343</v>
      </c>
      <c r="F35" s="60">
        <f t="shared" si="5"/>
        <v>75.000000000000014</v>
      </c>
      <c r="G35" s="60">
        <f t="shared" si="5"/>
        <v>66.666666666666686</v>
      </c>
      <c r="H35" s="60">
        <f t="shared" si="5"/>
        <v>58.33333333333335</v>
      </c>
      <c r="I35" s="60">
        <f t="shared" si="5"/>
        <v>50.000000000000014</v>
      </c>
      <c r="J35" s="60">
        <f t="shared" si="5"/>
        <v>41.666666666666679</v>
      </c>
      <c r="K35" s="60">
        <f t="shared" si="5"/>
        <v>33.333333333333343</v>
      </c>
      <c r="L35" s="60">
        <f t="shared" si="5"/>
        <v>25.000000000000007</v>
      </c>
      <c r="M35" s="60">
        <f t="shared" si="5"/>
        <v>16.666666666666671</v>
      </c>
      <c r="N35" s="60">
        <f t="shared" si="5"/>
        <v>8.3333333333333375</v>
      </c>
      <c r="O35" s="60">
        <f t="shared" si="5"/>
        <v>0</v>
      </c>
    </row>
  </sheetData>
  <mergeCells count="5">
    <mergeCell ref="D3:F3"/>
    <mergeCell ref="A4:C4"/>
    <mergeCell ref="D4:F4"/>
    <mergeCell ref="A5:B5"/>
    <mergeCell ref="B11:G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2329-3D66-4C20-93D4-39648B21E168}">
  <dimension ref="A1:M21"/>
  <sheetViews>
    <sheetView workbookViewId="0"/>
  </sheetViews>
  <sheetFormatPr defaultRowHeight="15.6" x14ac:dyDescent="0.3"/>
  <cols>
    <col min="1" max="1" width="8.88671875" style="23"/>
    <col min="2" max="2" width="16.33203125" customWidth="1"/>
    <col min="3" max="3" width="11.77734375" bestFit="1" customWidth="1"/>
  </cols>
  <sheetData>
    <row r="1" spans="1:13" x14ac:dyDescent="0.3">
      <c r="A1" s="36">
        <f>A3+A13</f>
        <v>2</v>
      </c>
      <c r="B1" s="1" t="s">
        <v>31</v>
      </c>
      <c r="C1" s="7"/>
      <c r="D1" s="7"/>
      <c r="E1" s="7"/>
      <c r="F1" s="7"/>
      <c r="G1" s="7"/>
    </row>
    <row r="2" spans="1:13" ht="37.200000000000003" customHeight="1" x14ac:dyDescent="0.3">
      <c r="B2" s="112" t="s">
        <v>28</v>
      </c>
      <c r="C2" s="112"/>
      <c r="D2" s="112"/>
      <c r="E2" s="112"/>
      <c r="F2" s="112"/>
      <c r="G2" s="112"/>
      <c r="H2" s="112"/>
      <c r="I2" s="112"/>
      <c r="J2" s="112"/>
      <c r="K2" s="112"/>
      <c r="L2" s="112"/>
      <c r="M2" s="112"/>
    </row>
    <row r="3" spans="1:13" x14ac:dyDescent="0.3">
      <c r="A3" s="23">
        <v>1</v>
      </c>
      <c r="B3" s="29" t="s">
        <v>29</v>
      </c>
      <c r="C3" s="11"/>
      <c r="D3" s="11"/>
      <c r="E3" s="11"/>
      <c r="F3" s="11"/>
      <c r="G3" s="11"/>
    </row>
    <row r="4" spans="1:13" x14ac:dyDescent="0.3">
      <c r="B4" s="7" t="s">
        <v>67</v>
      </c>
      <c r="C4" s="22">
        <v>2500</v>
      </c>
      <c r="D4" s="7" t="s">
        <v>68</v>
      </c>
      <c r="E4" s="7"/>
      <c r="F4" s="7"/>
      <c r="G4" s="7"/>
    </row>
    <row r="5" spans="1:13" x14ac:dyDescent="0.3">
      <c r="B5" s="68" t="s">
        <v>4</v>
      </c>
      <c r="C5" s="69">
        <v>0</v>
      </c>
      <c r="D5" s="68">
        <v>1</v>
      </c>
      <c r="E5" s="68">
        <v>2</v>
      </c>
      <c r="F5" s="68">
        <v>3</v>
      </c>
      <c r="G5" s="68">
        <v>4</v>
      </c>
      <c r="H5" s="70" t="s">
        <v>72</v>
      </c>
    </row>
    <row r="6" spans="1:13" x14ac:dyDescent="0.3">
      <c r="B6" s="23" t="s">
        <v>69</v>
      </c>
      <c r="C6" s="7"/>
      <c r="D6" s="30">
        <v>0.15</v>
      </c>
      <c r="E6" s="30">
        <v>0.15</v>
      </c>
      <c r="F6" s="30">
        <v>0.15</v>
      </c>
      <c r="G6" s="30">
        <v>0.08</v>
      </c>
      <c r="H6" s="64">
        <v>0.08</v>
      </c>
    </row>
    <row r="7" spans="1:13" x14ac:dyDescent="0.3">
      <c r="B7" s="7" t="s">
        <v>75</v>
      </c>
      <c r="C7" s="7"/>
      <c r="D7" s="7">
        <f>$C$4*(1+D6)</f>
        <v>2875</v>
      </c>
      <c r="E7" s="7">
        <f t="shared" ref="E7:H7" si="0">$C$4*(1+E6)</f>
        <v>2875</v>
      </c>
      <c r="F7" s="7">
        <f t="shared" si="0"/>
        <v>2875</v>
      </c>
      <c r="G7" s="7">
        <f t="shared" si="0"/>
        <v>2700</v>
      </c>
      <c r="H7" s="7">
        <f t="shared" si="0"/>
        <v>2700</v>
      </c>
    </row>
    <row r="8" spans="1:13" x14ac:dyDescent="0.3">
      <c r="B8" s="7" t="s">
        <v>73</v>
      </c>
      <c r="C8" s="22"/>
      <c r="D8" s="7"/>
      <c r="E8" s="7"/>
      <c r="F8" s="7">
        <f>G7/(12%-8%)</f>
        <v>67500.000000000015</v>
      </c>
      <c r="G8" s="7"/>
    </row>
    <row r="9" spans="1:13" x14ac:dyDescent="0.3">
      <c r="B9" s="7" t="s">
        <v>71</v>
      </c>
      <c r="C9" s="22"/>
      <c r="D9" s="7">
        <f>D7+D8</f>
        <v>2875</v>
      </c>
      <c r="E9" s="7">
        <f t="shared" ref="E9:F9" si="1">E7+E8</f>
        <v>2875</v>
      </c>
      <c r="F9" s="7">
        <f t="shared" si="1"/>
        <v>70375.000000000015</v>
      </c>
      <c r="G9" s="7"/>
    </row>
    <row r="10" spans="1:13" x14ac:dyDescent="0.3">
      <c r="B10" s="66" t="s">
        <v>74</v>
      </c>
      <c r="C10" s="67">
        <f>NPV(12%,D9:F9)</f>
        <v>54950.431623542267</v>
      </c>
      <c r="D10" s="7"/>
      <c r="E10" s="7"/>
      <c r="F10" s="7"/>
      <c r="G10" s="7"/>
    </row>
    <row r="11" spans="1:13" x14ac:dyDescent="0.3">
      <c r="B11" s="7"/>
      <c r="C11" s="7"/>
      <c r="D11" s="31"/>
      <c r="E11" s="31"/>
      <c r="F11" s="8"/>
      <c r="G11" s="8"/>
    </row>
    <row r="12" spans="1:13" x14ac:dyDescent="0.3">
      <c r="B12" s="7"/>
      <c r="C12" s="9"/>
      <c r="D12" s="9"/>
      <c r="E12" s="9"/>
      <c r="F12" s="9"/>
      <c r="G12" s="9"/>
    </row>
    <row r="13" spans="1:13" x14ac:dyDescent="0.3">
      <c r="A13" s="23">
        <v>1</v>
      </c>
      <c r="B13" s="1" t="s">
        <v>30</v>
      </c>
      <c r="C13" s="9"/>
      <c r="D13" s="9"/>
      <c r="E13" s="9"/>
      <c r="F13" s="9"/>
      <c r="G13" s="9"/>
    </row>
    <row r="14" spans="1:13" x14ac:dyDescent="0.3">
      <c r="B14" s="7"/>
      <c r="C14" s="22"/>
      <c r="D14" s="7"/>
      <c r="E14" s="21"/>
      <c r="F14" s="21"/>
      <c r="G14" s="21"/>
    </row>
    <row r="15" spans="1:13" x14ac:dyDescent="0.3">
      <c r="B15" s="68" t="s">
        <v>4</v>
      </c>
      <c r="C15" s="69">
        <v>0</v>
      </c>
      <c r="D15" s="68">
        <v>1</v>
      </c>
      <c r="E15" s="68">
        <v>2</v>
      </c>
      <c r="F15" s="68">
        <v>3</v>
      </c>
      <c r="G15" s="68">
        <v>4</v>
      </c>
      <c r="H15" s="70" t="s">
        <v>72</v>
      </c>
    </row>
    <row r="16" spans="1:13" x14ac:dyDescent="0.3">
      <c r="B16" s="23" t="s">
        <v>70</v>
      </c>
      <c r="C16" s="7"/>
      <c r="D16" s="30">
        <v>0.15</v>
      </c>
      <c r="E16" s="30">
        <v>0.15</v>
      </c>
      <c r="F16" s="30">
        <v>0.15</v>
      </c>
      <c r="G16" s="30">
        <v>0.08</v>
      </c>
      <c r="H16" s="64">
        <v>0.08</v>
      </c>
    </row>
    <row r="17" spans="2:8" x14ac:dyDescent="0.3">
      <c r="B17" s="7" t="s">
        <v>75</v>
      </c>
      <c r="C17" s="7"/>
      <c r="D17" s="7">
        <f>$C$4*(1+D16)</f>
        <v>2875</v>
      </c>
      <c r="E17" s="7">
        <f t="shared" ref="E17" si="2">$C$4*(1+E16)</f>
        <v>2875</v>
      </c>
      <c r="F17" s="7">
        <f t="shared" ref="F17" si="3">$C$4*(1+F16)</f>
        <v>2875</v>
      </c>
      <c r="G17" s="7">
        <f t="shared" ref="G17" si="4">$C$4*(1+G16)</f>
        <v>2700</v>
      </c>
      <c r="H17" s="7">
        <f t="shared" ref="H17" si="5">$C$4*(1+H16)</f>
        <v>2700</v>
      </c>
    </row>
    <row r="18" spans="2:8" x14ac:dyDescent="0.3">
      <c r="B18" s="7" t="s">
        <v>76</v>
      </c>
      <c r="C18" s="22"/>
      <c r="D18" s="7"/>
      <c r="E18" s="7"/>
      <c r="F18" s="7">
        <v>32000</v>
      </c>
      <c r="G18" s="7"/>
    </row>
    <row r="19" spans="2:8" x14ac:dyDescent="0.3">
      <c r="B19" s="7" t="s">
        <v>71</v>
      </c>
      <c r="C19" s="22"/>
      <c r="D19" s="7">
        <f>D17+D18</f>
        <v>2875</v>
      </c>
      <c r="E19" s="7">
        <f t="shared" ref="E19" si="6">E17+E18</f>
        <v>2875</v>
      </c>
      <c r="F19" s="7">
        <f t="shared" ref="F19" si="7">F17+F18</f>
        <v>34875</v>
      </c>
      <c r="G19" s="7"/>
    </row>
    <row r="20" spans="2:8" x14ac:dyDescent="0.3">
      <c r="B20" s="66" t="s">
        <v>74</v>
      </c>
      <c r="C20" s="67">
        <f>NPV(12%,D19:F19)</f>
        <v>29682.232826166171</v>
      </c>
      <c r="D20" s="7"/>
      <c r="E20" s="7"/>
      <c r="F20" s="7"/>
      <c r="G20" s="7"/>
    </row>
    <row r="21" spans="2:8" x14ac:dyDescent="0.3">
      <c r="B21" s="7"/>
      <c r="C21" s="7"/>
      <c r="D21" s="31"/>
      <c r="E21" s="31"/>
      <c r="F21" s="8"/>
      <c r="G21" s="8"/>
    </row>
  </sheetData>
  <mergeCells count="1">
    <mergeCell ref="B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8C7D-65E7-42A1-A4B3-BA0100BD30EF}">
  <dimension ref="A1:F76"/>
  <sheetViews>
    <sheetView workbookViewId="0">
      <selection activeCell="A2" sqref="A2"/>
    </sheetView>
  </sheetViews>
  <sheetFormatPr defaultRowHeight="15.6" x14ac:dyDescent="0.3"/>
  <cols>
    <col min="1" max="1" width="8.88671875" style="23"/>
    <col min="2" max="2" width="42.21875" style="23" customWidth="1"/>
    <col min="3" max="6" width="22.6640625" style="23" bestFit="1" customWidth="1"/>
    <col min="7" max="16384" width="8.88671875" style="23"/>
  </cols>
  <sheetData>
    <row r="1" spans="1:6" x14ac:dyDescent="0.3">
      <c r="A1" s="36">
        <f>A51+A58+A71</f>
        <v>2</v>
      </c>
      <c r="B1" s="36" t="s">
        <v>183</v>
      </c>
    </row>
    <row r="2" spans="1:6" x14ac:dyDescent="0.3">
      <c r="B2" s="99" t="s">
        <v>4</v>
      </c>
      <c r="C2" s="92">
        <v>2019</v>
      </c>
      <c r="D2" s="92">
        <v>2020</v>
      </c>
      <c r="E2" s="92">
        <v>2021</v>
      </c>
      <c r="F2" s="92">
        <v>2022</v>
      </c>
    </row>
    <row r="3" spans="1:6" x14ac:dyDescent="0.3">
      <c r="B3" s="86" t="s">
        <v>125</v>
      </c>
      <c r="C3" s="86"/>
      <c r="D3" s="86"/>
      <c r="E3" s="86"/>
      <c r="F3" s="86"/>
    </row>
    <row r="4" spans="1:6" x14ac:dyDescent="0.3">
      <c r="B4" s="86" t="s">
        <v>126</v>
      </c>
      <c r="C4" s="95">
        <v>20559756794837</v>
      </c>
      <c r="D4" s="95">
        <v>24721565376552</v>
      </c>
      <c r="E4" s="95">
        <v>29665725805058</v>
      </c>
      <c r="F4" s="95">
        <v>36109910649785</v>
      </c>
    </row>
    <row r="5" spans="1:6" x14ac:dyDescent="0.3">
      <c r="B5" s="86" t="s">
        <v>127</v>
      </c>
      <c r="C5" s="95">
        <v>1522610167671</v>
      </c>
      <c r="D5" s="95">
        <v>2665194638452</v>
      </c>
      <c r="E5" s="95">
        <v>2111242815581</v>
      </c>
      <c r="F5" s="95">
        <v>2348551874348</v>
      </c>
    </row>
    <row r="6" spans="1:6" x14ac:dyDescent="0.3">
      <c r="B6" s="86" t="s">
        <v>128</v>
      </c>
      <c r="C6" s="95">
        <v>8673926951890</v>
      </c>
      <c r="D6" s="95">
        <v>12435744328964</v>
      </c>
      <c r="E6" s="95">
        <v>17313679774893</v>
      </c>
      <c r="F6" s="95">
        <v>21025735779475</v>
      </c>
    </row>
    <row r="7" spans="1:6" x14ac:dyDescent="0.3">
      <c r="B7" s="86" t="s">
        <v>129</v>
      </c>
      <c r="C7" s="95">
        <v>4639447900101</v>
      </c>
      <c r="D7" s="95">
        <v>4503154728959</v>
      </c>
      <c r="E7" s="95">
        <v>5187253172150</v>
      </c>
      <c r="F7" s="95">
        <v>5822028742791</v>
      </c>
    </row>
    <row r="8" spans="1:6" x14ac:dyDescent="0.3">
      <c r="B8" s="86" t="s">
        <v>130</v>
      </c>
      <c r="C8" s="95">
        <v>5525845959354</v>
      </c>
      <c r="D8" s="95">
        <v>4983044403917</v>
      </c>
      <c r="E8" s="95">
        <v>4905068613616</v>
      </c>
      <c r="F8" s="95">
        <v>6773071634017</v>
      </c>
    </row>
    <row r="9" spans="1:6" x14ac:dyDescent="0.3">
      <c r="B9" s="86" t="s">
        <v>131</v>
      </c>
      <c r="C9" s="95">
        <v>197925815821</v>
      </c>
      <c r="D9" s="95">
        <v>134427276260</v>
      </c>
      <c r="E9" s="95">
        <v>148481428818</v>
      </c>
      <c r="F9" s="95">
        <v>140522619154</v>
      </c>
    </row>
    <row r="10" spans="1:6" x14ac:dyDescent="0.3">
      <c r="B10" s="86" t="s">
        <v>132</v>
      </c>
      <c r="C10" s="95">
        <v>16806351859342</v>
      </c>
      <c r="D10" s="95">
        <v>19978308009482</v>
      </c>
      <c r="E10" s="95">
        <v>18766754868571</v>
      </c>
      <c r="F10" s="95">
        <v>17222492788434</v>
      </c>
    </row>
    <row r="11" spans="1:6" x14ac:dyDescent="0.3">
      <c r="B11" s="86" t="s">
        <v>133</v>
      </c>
      <c r="C11" s="95">
        <v>88443241642</v>
      </c>
      <c r="D11" s="95">
        <v>21169968995</v>
      </c>
      <c r="E11" s="95">
        <v>19974111715</v>
      </c>
      <c r="F11" s="95">
        <v>16695104495</v>
      </c>
    </row>
    <row r="12" spans="1:6" x14ac:dyDescent="0.3">
      <c r="B12" s="86" t="s">
        <v>134</v>
      </c>
      <c r="C12" s="95">
        <v>13365353599098</v>
      </c>
      <c r="D12" s="95">
        <v>14893540216703</v>
      </c>
      <c r="E12" s="95">
        <v>13853807867036</v>
      </c>
      <c r="F12" s="95">
        <v>12706598557849</v>
      </c>
    </row>
    <row r="13" spans="1:6" x14ac:dyDescent="0.3">
      <c r="B13" s="86" t="s">
        <v>135</v>
      </c>
      <c r="C13" s="95">
        <v>90248200759</v>
      </c>
      <c r="D13" s="95">
        <v>62018116736</v>
      </c>
      <c r="E13" s="95">
        <v>59996974041</v>
      </c>
      <c r="F13" s="95">
        <v>60049893676</v>
      </c>
    </row>
    <row r="14" spans="1:6" x14ac:dyDescent="0.3">
      <c r="B14" s="86" t="s">
        <v>136</v>
      </c>
      <c r="C14" s="95">
        <v>868245878253</v>
      </c>
      <c r="D14" s="95">
        <v>943845551903</v>
      </c>
      <c r="E14" s="95">
        <v>1062633519957</v>
      </c>
      <c r="F14" s="95">
        <v>1130023695910</v>
      </c>
    </row>
    <row r="15" spans="1:6" x14ac:dyDescent="0.3">
      <c r="B15" s="86" t="s">
        <v>137</v>
      </c>
      <c r="C15" s="95">
        <v>1068660695119</v>
      </c>
      <c r="D15" s="95">
        <v>986676290429</v>
      </c>
      <c r="E15" s="95">
        <v>973440912476</v>
      </c>
      <c r="F15" s="95">
        <v>743862023831</v>
      </c>
    </row>
    <row r="16" spans="1:6" x14ac:dyDescent="0.3">
      <c r="B16" s="86" t="s">
        <v>138</v>
      </c>
      <c r="C16" s="95">
        <v>1325400244471</v>
      </c>
      <c r="D16" s="95">
        <v>3071057864716</v>
      </c>
      <c r="E16" s="95">
        <v>2796901483346</v>
      </c>
      <c r="F16" s="95">
        <v>2565263512673</v>
      </c>
    </row>
    <row r="17" spans="2:6" x14ac:dyDescent="0.3">
      <c r="B17" s="86" t="s">
        <v>139</v>
      </c>
      <c r="C17" s="95">
        <v>0</v>
      </c>
      <c r="D17" s="95">
        <v>0</v>
      </c>
      <c r="E17" s="95">
        <v>0</v>
      </c>
      <c r="F17" s="95">
        <v>0</v>
      </c>
    </row>
    <row r="18" spans="2:6" x14ac:dyDescent="0.3">
      <c r="B18" s="92" t="s">
        <v>140</v>
      </c>
      <c r="C18" s="93">
        <v>37366108654179</v>
      </c>
      <c r="D18" s="93">
        <v>44699873386034</v>
      </c>
      <c r="E18" s="93">
        <v>48432480673629</v>
      </c>
      <c r="F18" s="93">
        <v>53332403438219</v>
      </c>
    </row>
    <row r="19" spans="2:6" x14ac:dyDescent="0.3">
      <c r="B19" s="86" t="s">
        <v>141</v>
      </c>
      <c r="C19" s="95"/>
      <c r="D19" s="95"/>
      <c r="E19" s="95"/>
      <c r="F19" s="95"/>
    </row>
    <row r="20" spans="2:6" x14ac:dyDescent="0.3">
      <c r="B20" s="86" t="s">
        <v>142</v>
      </c>
      <c r="C20" s="95">
        <v>11094739362252</v>
      </c>
      <c r="D20" s="95">
        <v>14968618181670</v>
      </c>
      <c r="E20" s="95">
        <v>14785358443807</v>
      </c>
      <c r="F20" s="95">
        <v>17482289188835</v>
      </c>
    </row>
    <row r="21" spans="2:6" x14ac:dyDescent="0.3">
      <c r="B21" s="86" t="s">
        <v>143</v>
      </c>
      <c r="C21" s="95">
        <v>10639592009462</v>
      </c>
      <c r="D21" s="95">
        <v>14442851833360</v>
      </c>
      <c r="E21" s="95">
        <v>14212646285475</v>
      </c>
      <c r="F21" s="95">
        <v>17068416995519</v>
      </c>
    </row>
    <row r="22" spans="2:6" x14ac:dyDescent="0.3">
      <c r="B22" s="86" t="s">
        <v>144</v>
      </c>
      <c r="C22" s="95">
        <v>455147352790</v>
      </c>
      <c r="D22" s="95">
        <v>525766348310</v>
      </c>
      <c r="E22" s="95">
        <v>572712158332</v>
      </c>
      <c r="F22" s="95">
        <v>413872193316</v>
      </c>
    </row>
    <row r="23" spans="2:6" x14ac:dyDescent="0.3">
      <c r="B23" s="86" t="s">
        <v>145</v>
      </c>
      <c r="C23" s="95">
        <v>26271369291927</v>
      </c>
      <c r="D23" s="95">
        <v>29731255204364</v>
      </c>
      <c r="E23" s="95">
        <v>33647122229822</v>
      </c>
      <c r="F23" s="95">
        <v>35850114249384</v>
      </c>
    </row>
    <row r="24" spans="2:6" x14ac:dyDescent="0.3">
      <c r="B24" s="86" t="s">
        <v>146</v>
      </c>
      <c r="C24" s="95">
        <v>26271369291927</v>
      </c>
      <c r="D24" s="95">
        <v>29731255204364</v>
      </c>
      <c r="E24" s="95">
        <v>33647122229822</v>
      </c>
      <c r="F24" s="95">
        <v>35850114249384</v>
      </c>
    </row>
    <row r="25" spans="2:6" x14ac:dyDescent="0.3">
      <c r="B25" s="86" t="s">
        <v>147</v>
      </c>
      <c r="C25" s="95">
        <v>0</v>
      </c>
      <c r="D25" s="95">
        <v>0</v>
      </c>
      <c r="E25" s="95">
        <v>0</v>
      </c>
      <c r="F25" s="95">
        <v>0</v>
      </c>
    </row>
    <row r="26" spans="2:6" x14ac:dyDescent="0.3">
      <c r="B26" s="92" t="s">
        <v>148</v>
      </c>
      <c r="C26" s="93">
        <v>37366108654179</v>
      </c>
      <c r="D26" s="93">
        <v>44699873386034</v>
      </c>
      <c r="E26" s="93">
        <v>48432480673629</v>
      </c>
      <c r="F26" s="93">
        <v>53332403438219</v>
      </c>
    </row>
    <row r="28" spans="2:6" x14ac:dyDescent="0.3">
      <c r="B28" s="99" t="s">
        <v>4</v>
      </c>
      <c r="C28" s="92">
        <v>2019</v>
      </c>
      <c r="D28" s="92">
        <v>2020</v>
      </c>
      <c r="E28" s="92">
        <v>2021</v>
      </c>
      <c r="F28" s="92">
        <v>2022</v>
      </c>
    </row>
    <row r="29" spans="2:6" x14ac:dyDescent="0.3">
      <c r="B29" s="92" t="s">
        <v>149</v>
      </c>
      <c r="C29" s="93">
        <v>52629230427284</v>
      </c>
      <c r="D29" s="93">
        <v>56400229726717</v>
      </c>
      <c r="E29" s="93">
        <v>59722908393236</v>
      </c>
      <c r="F29" s="94">
        <v>61012074147764</v>
      </c>
    </row>
    <row r="30" spans="2:6" x14ac:dyDescent="0.3">
      <c r="B30" s="86" t="s">
        <v>150</v>
      </c>
      <c r="C30" s="95">
        <v>67280456692</v>
      </c>
      <c r="D30" s="95">
        <v>82106963973</v>
      </c>
      <c r="E30" s="95">
        <v>86622167689</v>
      </c>
      <c r="F30" s="96">
        <v>92909301618</v>
      </c>
    </row>
    <row r="31" spans="2:6" x14ac:dyDescent="0.3">
      <c r="B31" s="92" t="s">
        <v>151</v>
      </c>
      <c r="C31" s="93">
        <v>52561949970592</v>
      </c>
      <c r="D31" s="93">
        <v>56318122762744</v>
      </c>
      <c r="E31" s="93">
        <v>59636286225547</v>
      </c>
      <c r="F31" s="93">
        <v>60919164846146</v>
      </c>
    </row>
    <row r="32" spans="2:6" x14ac:dyDescent="0.3">
      <c r="B32" s="86" t="s">
        <v>152</v>
      </c>
      <c r="C32" s="95">
        <v>27950543501501</v>
      </c>
      <c r="D32" s="95">
        <v>29745906112117</v>
      </c>
      <c r="E32" s="95">
        <v>31967662837839</v>
      </c>
      <c r="F32" s="96">
        <v>34640863353839</v>
      </c>
    </row>
    <row r="33" spans="2:6" x14ac:dyDescent="0.3">
      <c r="B33" s="92" t="s">
        <v>153</v>
      </c>
      <c r="C33" s="93">
        <v>24611406469091</v>
      </c>
      <c r="D33" s="93">
        <v>26572216650627</v>
      </c>
      <c r="E33" s="93">
        <v>27668623387708</v>
      </c>
      <c r="F33" s="93">
        <v>26278301492307</v>
      </c>
    </row>
    <row r="34" spans="2:6" x14ac:dyDescent="0.3">
      <c r="B34" s="92" t="s">
        <v>154</v>
      </c>
      <c r="C34" s="93">
        <v>759917391001</v>
      </c>
      <c r="D34" s="93">
        <v>807316707483</v>
      </c>
      <c r="E34" s="93">
        <v>1581092655317</v>
      </c>
      <c r="F34" s="94">
        <v>1214683819394</v>
      </c>
    </row>
    <row r="35" spans="2:6" x14ac:dyDescent="0.3">
      <c r="B35" s="86" t="s">
        <v>155</v>
      </c>
      <c r="C35" s="95">
        <v>118007001674</v>
      </c>
      <c r="D35" s="95">
        <v>186969681828</v>
      </c>
      <c r="E35" s="95">
        <v>308569328835</v>
      </c>
      <c r="F35" s="96">
        <v>202338232232</v>
      </c>
    </row>
    <row r="36" spans="2:6" x14ac:dyDescent="0.3">
      <c r="B36" s="97" t="s">
        <v>156</v>
      </c>
      <c r="C36" s="95">
        <v>51367418852</v>
      </c>
      <c r="D36" s="95">
        <v>108824893987</v>
      </c>
      <c r="E36" s="95">
        <v>143818465177</v>
      </c>
      <c r="F36" s="96">
        <v>88799090663</v>
      </c>
    </row>
    <row r="37" spans="2:6" x14ac:dyDescent="0.3">
      <c r="B37" s="86" t="s">
        <v>157</v>
      </c>
      <c r="C37" s="95">
        <v>22433720557</v>
      </c>
      <c r="D37" s="95">
        <v>-5716591103</v>
      </c>
      <c r="E37" s="95">
        <v>3882188676</v>
      </c>
      <c r="F37" s="96">
        <v>-45044429889</v>
      </c>
    </row>
    <row r="38" spans="2:6" x14ac:dyDescent="0.3">
      <c r="B38" s="86" t="s">
        <v>158</v>
      </c>
      <c r="C38" s="95">
        <v>12265936906433</v>
      </c>
      <c r="D38" s="95">
        <v>12993454552852</v>
      </c>
      <c r="E38" s="95">
        <v>13447492622165</v>
      </c>
      <c r="F38" s="96">
        <v>12950670402404</v>
      </c>
    </row>
    <row r="39" spans="2:6" x14ac:dyDescent="0.3">
      <c r="B39" s="86" t="s">
        <v>159</v>
      </c>
      <c r="C39" s="95">
        <v>1133300231790</v>
      </c>
      <c r="D39" s="95">
        <v>1396302416955</v>
      </c>
      <c r="E39" s="95">
        <v>1958155456285</v>
      </c>
      <c r="F39" s="96">
        <v>1567312426985</v>
      </c>
    </row>
    <row r="40" spans="2:6" x14ac:dyDescent="0.3">
      <c r="B40" s="92" t="s">
        <v>160</v>
      </c>
      <c r="C40" s="93">
        <v>11876513440752</v>
      </c>
      <c r="D40" s="93">
        <v>12797090115372</v>
      </c>
      <c r="E40" s="93">
        <v>13539380824416</v>
      </c>
      <c r="F40" s="93">
        <v>12727619820191</v>
      </c>
    </row>
    <row r="41" spans="2:6" x14ac:dyDescent="0.3">
      <c r="B41" s="86" t="s">
        <v>161</v>
      </c>
      <c r="C41" s="95">
        <v>450247329980</v>
      </c>
      <c r="D41" s="95">
        <v>249446259179</v>
      </c>
      <c r="E41" s="98">
        <v>212386195135</v>
      </c>
      <c r="F41" s="96">
        <v>422823192290</v>
      </c>
    </row>
    <row r="42" spans="2:6" x14ac:dyDescent="0.3">
      <c r="B42" s="86" t="s">
        <v>162</v>
      </c>
      <c r="C42" s="95">
        <v>275064504609</v>
      </c>
      <c r="D42" s="95">
        <v>250826735994</v>
      </c>
      <c r="E42" s="95">
        <v>233230932527</v>
      </c>
      <c r="F42" s="96">
        <v>228207525562</v>
      </c>
    </row>
    <row r="43" spans="2:6" x14ac:dyDescent="0.3">
      <c r="B43" s="92" t="s">
        <v>163</v>
      </c>
      <c r="C43" s="93">
        <v>175182825371</v>
      </c>
      <c r="D43" s="93">
        <v>-1380476815</v>
      </c>
      <c r="E43" s="93">
        <v>-20844737392</v>
      </c>
      <c r="F43" s="93">
        <v>194615666728</v>
      </c>
    </row>
    <row r="44" spans="2:6" x14ac:dyDescent="0.3">
      <c r="B44" s="92" t="s">
        <v>164</v>
      </c>
      <c r="C44" s="93">
        <v>12051696266123</v>
      </c>
      <c r="D44" s="93">
        <v>12795709638557</v>
      </c>
      <c r="E44" s="93">
        <v>13518536087024</v>
      </c>
      <c r="F44" s="93">
        <v>12922235486919</v>
      </c>
    </row>
    <row r="45" spans="2:6" x14ac:dyDescent="0.3">
      <c r="B45" s="86" t="s">
        <v>165</v>
      </c>
      <c r="C45" s="98">
        <v>1874905225483</v>
      </c>
      <c r="D45" s="95">
        <v>2238365796113</v>
      </c>
      <c r="E45" s="95">
        <v>2310674009890</v>
      </c>
      <c r="F45" s="96">
        <v>2320981674175</v>
      </c>
    </row>
    <row r="46" spans="2:6" x14ac:dyDescent="0.3">
      <c r="B46" s="86" t="s">
        <v>166</v>
      </c>
      <c r="C46" s="95">
        <v>-28838670599</v>
      </c>
      <c r="D46" s="95">
        <v>3011961553</v>
      </c>
      <c r="E46" s="95">
        <v>-27870156991</v>
      </c>
      <c r="F46" s="96">
        <v>-31282159734</v>
      </c>
    </row>
    <row r="47" spans="2:6" x14ac:dyDescent="0.3">
      <c r="B47" s="92" t="s">
        <v>167</v>
      </c>
      <c r="C47" s="93">
        <v>10205629711239</v>
      </c>
      <c r="D47" s="93">
        <v>10554331880891</v>
      </c>
      <c r="E47" s="93">
        <v>11235732234125</v>
      </c>
      <c r="F47" s="93">
        <v>10632535972478</v>
      </c>
    </row>
    <row r="48" spans="2:6" x14ac:dyDescent="0.3">
      <c r="B48" s="92" t="s">
        <v>168</v>
      </c>
      <c r="C48" s="94">
        <v>5295</v>
      </c>
      <c r="D48" s="94">
        <v>5478</v>
      </c>
      <c r="E48" s="94">
        <v>4770</v>
      </c>
      <c r="F48" s="94">
        <v>4517</v>
      </c>
    </row>
    <row r="50" spans="1:6" x14ac:dyDescent="0.3">
      <c r="B50" s="100" t="s">
        <v>169</v>
      </c>
      <c r="C50" s="91"/>
      <c r="D50" s="91"/>
      <c r="E50" s="91"/>
      <c r="F50" s="91"/>
    </row>
    <row r="51" spans="1:6" x14ac:dyDescent="0.3">
      <c r="A51" s="23">
        <v>1</v>
      </c>
      <c r="B51" s="101" t="s">
        <v>170</v>
      </c>
      <c r="C51" s="92">
        <v>2019</v>
      </c>
      <c r="D51" s="92">
        <v>2020</v>
      </c>
      <c r="E51" s="92">
        <v>2021</v>
      </c>
      <c r="F51" s="92">
        <v>2022</v>
      </c>
    </row>
    <row r="52" spans="1:6" ht="31.2" x14ac:dyDescent="0.3">
      <c r="B52" s="102" t="s">
        <v>171</v>
      </c>
      <c r="C52" s="103">
        <f>C18/C20</f>
        <v>3.3679122541004389</v>
      </c>
      <c r="D52" s="103">
        <f>D18/D20</f>
        <v>2.9862391333337479</v>
      </c>
      <c r="E52" s="103">
        <f t="shared" ref="E52:F52" si="0">E18/E20</f>
        <v>3.2757055473291854</v>
      </c>
      <c r="F52" s="103">
        <f t="shared" si="0"/>
        <v>3.0506533133131986</v>
      </c>
    </row>
    <row r="53" spans="1:6" ht="31.2" x14ac:dyDescent="0.3">
      <c r="B53" s="102" t="s">
        <v>172</v>
      </c>
      <c r="C53" s="103">
        <f>(C4-C8)/C21</f>
        <v>1.4130157267414996</v>
      </c>
      <c r="D53" s="103">
        <f t="shared" ref="D53:F53" si="1">(D4-D8)/D21</f>
        <v>1.3666636755937009</v>
      </c>
      <c r="E53" s="103">
        <f t="shared" si="1"/>
        <v>1.7421567169195527</v>
      </c>
      <c r="F53" s="103">
        <f t="shared" si="1"/>
        <v>1.7187791359602855</v>
      </c>
    </row>
    <row r="54" spans="1:6" ht="31.2" x14ac:dyDescent="0.3">
      <c r="B54" s="102" t="s">
        <v>173</v>
      </c>
      <c r="C54" s="103">
        <f>C10/C22</f>
        <v>36.925078782335063</v>
      </c>
      <c r="D54" s="103">
        <f t="shared" ref="D54:F54" si="2">D10/D22</f>
        <v>37.998453255327931</v>
      </c>
      <c r="E54" s="103">
        <f t="shared" si="2"/>
        <v>32.768214530713614</v>
      </c>
      <c r="F54" s="103">
        <f t="shared" si="2"/>
        <v>41.613070572451505</v>
      </c>
    </row>
    <row r="55" spans="1:6" x14ac:dyDescent="0.3">
      <c r="B55" s="102" t="s">
        <v>174</v>
      </c>
      <c r="C55" s="103">
        <f>C47/C24</f>
        <v>0.38846965294554003</v>
      </c>
      <c r="D55" s="103">
        <f t="shared" ref="D55:F55" si="3">D47/D24</f>
        <v>0.35499112998572019</v>
      </c>
      <c r="E55" s="103">
        <f t="shared" si="3"/>
        <v>0.33392847558792366</v>
      </c>
      <c r="F55" s="103">
        <f t="shared" si="3"/>
        <v>0.29658304290231641</v>
      </c>
    </row>
    <row r="56" spans="1:6" x14ac:dyDescent="0.3">
      <c r="B56" s="102" t="s">
        <v>175</v>
      </c>
      <c r="C56" s="103">
        <f>C47/C31</f>
        <v>0.19416383366577858</v>
      </c>
      <c r="D56" s="103">
        <f>D47/D31</f>
        <v>0.1874056052144015</v>
      </c>
      <c r="E56" s="103">
        <f t="shared" ref="E56:F56" si="4">E47/E31</f>
        <v>0.18840429116647164</v>
      </c>
      <c r="F56" s="103">
        <f t="shared" si="4"/>
        <v>0.17453515653622192</v>
      </c>
    </row>
    <row r="57" spans="1:6" x14ac:dyDescent="0.3">
      <c r="C57" s="91"/>
      <c r="D57" s="91"/>
      <c r="E57" s="91"/>
      <c r="F57" s="91"/>
    </row>
    <row r="58" spans="1:6" ht="31.2" x14ac:dyDescent="0.3">
      <c r="A58" s="23">
        <v>0.5</v>
      </c>
      <c r="B58" s="101" t="s">
        <v>176</v>
      </c>
      <c r="C58" s="91"/>
      <c r="D58" s="91"/>
      <c r="E58" s="91"/>
      <c r="F58" s="91"/>
    </row>
    <row r="59" spans="1:6" x14ac:dyDescent="0.3">
      <c r="C59" s="91"/>
      <c r="D59" s="91"/>
      <c r="E59" s="91"/>
      <c r="F59" s="91"/>
    </row>
    <row r="60" spans="1:6" x14ac:dyDescent="0.3">
      <c r="B60" s="23" t="s">
        <v>177</v>
      </c>
      <c r="C60" s="91"/>
      <c r="D60" s="91"/>
      <c r="E60" s="91"/>
      <c r="F60" s="91"/>
    </row>
    <row r="61" spans="1:6" x14ac:dyDescent="0.3">
      <c r="B61" s="104" t="s">
        <v>4</v>
      </c>
      <c r="C61" s="91"/>
      <c r="D61" s="91"/>
      <c r="E61" s="91"/>
      <c r="F61" s="91"/>
    </row>
    <row r="62" spans="1:6" x14ac:dyDescent="0.3">
      <c r="B62" s="23">
        <v>2019</v>
      </c>
      <c r="C62" s="105">
        <v>0</v>
      </c>
      <c r="D62" s="91"/>
      <c r="E62" s="91"/>
      <c r="F62" s="91"/>
    </row>
    <row r="63" spans="1:6" x14ac:dyDescent="0.3">
      <c r="B63" s="23">
        <v>2020</v>
      </c>
      <c r="C63" s="105">
        <f>D31/C31-1</f>
        <v>7.1461823510230227E-2</v>
      </c>
      <c r="D63" s="91"/>
      <c r="E63" s="91"/>
      <c r="F63" s="91"/>
    </row>
    <row r="64" spans="1:6" x14ac:dyDescent="0.3">
      <c r="B64" s="23">
        <v>2021</v>
      </c>
      <c r="C64" s="105">
        <f>E31/D31-1</f>
        <v>5.8918218506353703E-2</v>
      </c>
      <c r="D64" s="91"/>
      <c r="E64" s="91"/>
      <c r="F64" s="91"/>
    </row>
    <row r="65" spans="1:6" x14ac:dyDescent="0.3">
      <c r="B65" s="23">
        <v>2022</v>
      </c>
      <c r="C65" s="105">
        <f>F31/E31-1</f>
        <v>2.1511712110091841E-2</v>
      </c>
      <c r="D65" s="91"/>
      <c r="E65" s="91"/>
      <c r="F65" s="91"/>
    </row>
    <row r="66" spans="1:6" x14ac:dyDescent="0.3">
      <c r="C66" s="91"/>
      <c r="D66" s="91"/>
      <c r="E66" s="91"/>
      <c r="F66" s="91"/>
    </row>
    <row r="67" spans="1:6" x14ac:dyDescent="0.3">
      <c r="C67" s="91"/>
      <c r="D67" s="91"/>
      <c r="E67" s="91"/>
      <c r="F67" s="91"/>
    </row>
    <row r="68" spans="1:6" x14ac:dyDescent="0.3">
      <c r="C68" s="91"/>
      <c r="D68" s="91"/>
      <c r="E68" s="91"/>
      <c r="F68" s="91"/>
    </row>
    <row r="69" spans="1:6" x14ac:dyDescent="0.3">
      <c r="C69" s="91"/>
      <c r="D69" s="91"/>
      <c r="E69" s="91"/>
      <c r="F69" s="91"/>
    </row>
    <row r="70" spans="1:6" x14ac:dyDescent="0.3">
      <c r="C70" s="91"/>
      <c r="D70" s="91"/>
      <c r="E70" s="91"/>
      <c r="F70" s="91"/>
    </row>
    <row r="71" spans="1:6" ht="46.8" x14ac:dyDescent="0.3">
      <c r="A71" s="23">
        <v>0.5</v>
      </c>
      <c r="B71" s="101" t="s">
        <v>178</v>
      </c>
      <c r="C71" s="91"/>
      <c r="D71" s="91"/>
      <c r="E71" s="91"/>
      <c r="F71" s="91"/>
    </row>
    <row r="72" spans="1:6" x14ac:dyDescent="0.3">
      <c r="C72" s="37" t="s">
        <v>179</v>
      </c>
      <c r="D72" s="91"/>
      <c r="E72" s="91"/>
      <c r="F72" s="91"/>
    </row>
    <row r="73" spans="1:6" x14ac:dyDescent="0.3">
      <c r="B73" s="23" t="s">
        <v>180</v>
      </c>
      <c r="C73" s="106">
        <f>D73/D76</f>
        <v>0.28473909627386568</v>
      </c>
      <c r="D73" s="91">
        <f>C21</f>
        <v>10639592009462</v>
      </c>
      <c r="E73" s="91"/>
      <c r="F73" s="91"/>
    </row>
    <row r="74" spans="1:6" x14ac:dyDescent="0.3">
      <c r="B74" s="23" t="s">
        <v>181</v>
      </c>
      <c r="C74" s="106">
        <f>D74/D76</f>
        <v>1.2180753339941289E-2</v>
      </c>
      <c r="D74" s="91">
        <f>C22</f>
        <v>455147352790</v>
      </c>
      <c r="E74" s="91"/>
      <c r="F74" s="91"/>
    </row>
    <row r="75" spans="1:6" x14ac:dyDescent="0.3">
      <c r="B75" s="23" t="s">
        <v>182</v>
      </c>
      <c r="C75" s="106">
        <f>D75/D76</f>
        <v>0.70308015038619298</v>
      </c>
      <c r="D75" s="91">
        <f>C24</f>
        <v>26271369291927</v>
      </c>
      <c r="E75" s="91"/>
      <c r="F75" s="91"/>
    </row>
    <row r="76" spans="1:6" x14ac:dyDescent="0.3">
      <c r="D76" s="107">
        <f>SUM(D73:D75)</f>
        <v>37366108654179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A4B9-5FE3-4EF0-9FCD-5C6B1DD9F294}">
  <dimension ref="A2:H111"/>
  <sheetViews>
    <sheetView workbookViewId="0">
      <selection activeCell="C11" sqref="C11"/>
    </sheetView>
  </sheetViews>
  <sheetFormatPr defaultRowHeight="16.8" x14ac:dyDescent="0.3"/>
  <cols>
    <col min="1" max="1" width="8.88671875" style="33"/>
    <col min="2" max="2" width="22.6640625" customWidth="1"/>
    <col min="3" max="3" width="15.33203125" customWidth="1"/>
    <col min="4" max="4" width="14.6640625" customWidth="1"/>
    <col min="5" max="5" width="20.6640625" customWidth="1"/>
    <col min="6" max="6" width="15.33203125" bestFit="1" customWidth="1"/>
    <col min="7" max="7" width="11.77734375" customWidth="1"/>
    <col min="8" max="8" width="13.88671875" bestFit="1" customWidth="1"/>
  </cols>
  <sheetData>
    <row r="2" spans="1:7" ht="16.2" x14ac:dyDescent="0.3">
      <c r="A2" s="36">
        <f>SUM(A30:A36)</f>
        <v>4</v>
      </c>
      <c r="B2" s="1" t="s">
        <v>78</v>
      </c>
      <c r="C2" s="2"/>
      <c r="D2" s="3"/>
      <c r="E2" s="3"/>
      <c r="F2" s="3"/>
      <c r="G2" s="3"/>
    </row>
    <row r="3" spans="1:7" x14ac:dyDescent="0.3">
      <c r="B3" s="113" t="s">
        <v>2</v>
      </c>
      <c r="C3" s="113"/>
      <c r="D3" s="113"/>
      <c r="E3" s="113"/>
      <c r="F3" s="113"/>
      <c r="G3" s="113"/>
    </row>
    <row r="4" spans="1:7" x14ac:dyDescent="0.3">
      <c r="B4" s="11" t="s">
        <v>3</v>
      </c>
      <c r="C4" s="12">
        <v>4</v>
      </c>
      <c r="D4" s="11" t="s">
        <v>1</v>
      </c>
      <c r="E4" s="13"/>
      <c r="F4" s="3"/>
      <c r="G4" s="14"/>
    </row>
    <row r="5" spans="1:7" x14ac:dyDescent="0.3">
      <c r="B5" s="15" t="s">
        <v>4</v>
      </c>
      <c r="C5" s="16">
        <v>0</v>
      </c>
      <c r="D5" s="16">
        <v>1</v>
      </c>
      <c r="E5" s="16">
        <v>2</v>
      </c>
      <c r="F5" s="16">
        <v>3</v>
      </c>
      <c r="G5" s="16">
        <v>4</v>
      </c>
    </row>
    <row r="6" spans="1:7" x14ac:dyDescent="0.3">
      <c r="B6" s="11" t="s">
        <v>5</v>
      </c>
      <c r="C6" s="17"/>
      <c r="D6" s="20">
        <v>0.6</v>
      </c>
      <c r="E6" s="20">
        <v>0.7</v>
      </c>
      <c r="F6" s="20">
        <v>0.9</v>
      </c>
      <c r="G6" s="71">
        <v>0.95</v>
      </c>
    </row>
    <row r="7" spans="1:7" x14ac:dyDescent="0.3">
      <c r="B7" s="11" t="s">
        <v>6</v>
      </c>
      <c r="C7" s="17">
        <v>500000</v>
      </c>
      <c r="D7" s="12" t="s">
        <v>79</v>
      </c>
      <c r="E7" s="12"/>
      <c r="F7" s="12"/>
      <c r="G7" s="18"/>
    </row>
    <row r="8" spans="1:7" x14ac:dyDescent="0.3">
      <c r="B8" s="11" t="s">
        <v>8</v>
      </c>
      <c r="C8" s="7">
        <v>3.5000000000000003E-2</v>
      </c>
      <c r="D8" s="17" t="s">
        <v>80</v>
      </c>
      <c r="E8" s="11"/>
      <c r="F8" s="77"/>
      <c r="G8" s="19"/>
    </row>
    <row r="9" spans="1:7" x14ac:dyDescent="0.3">
      <c r="B9" s="11" t="s">
        <v>9</v>
      </c>
      <c r="C9" s="12"/>
      <c r="E9" s="72">
        <v>0.05</v>
      </c>
      <c r="F9" s="72">
        <v>0.05</v>
      </c>
      <c r="G9" s="73">
        <v>0.03</v>
      </c>
    </row>
    <row r="10" spans="1:7" x14ac:dyDescent="0.3">
      <c r="B10" s="74" t="s">
        <v>98</v>
      </c>
      <c r="C10" s="12">
        <f>C11+C12</f>
        <v>5200</v>
      </c>
      <c r="E10" s="72"/>
      <c r="F10" s="72"/>
      <c r="G10" s="73"/>
    </row>
    <row r="11" spans="1:7" x14ac:dyDescent="0.3">
      <c r="B11" s="11" t="s">
        <v>10</v>
      </c>
      <c r="C11" s="17">
        <v>1200</v>
      </c>
      <c r="D11" s="11" t="s">
        <v>81</v>
      </c>
      <c r="E11" s="13"/>
      <c r="F11" s="3"/>
      <c r="G11" s="19"/>
    </row>
    <row r="12" spans="1:7" ht="31.2" x14ac:dyDescent="0.3">
      <c r="B12" s="11" t="s">
        <v>11</v>
      </c>
      <c r="C12" s="17">
        <v>4000</v>
      </c>
      <c r="D12" s="11" t="s">
        <v>81</v>
      </c>
      <c r="E12" s="13"/>
      <c r="F12" s="3"/>
      <c r="G12" s="19"/>
    </row>
    <row r="13" spans="1:7" x14ac:dyDescent="0.3">
      <c r="B13" s="11" t="s">
        <v>12</v>
      </c>
      <c r="C13" s="17">
        <v>5</v>
      </c>
      <c r="D13" s="11" t="s">
        <v>1</v>
      </c>
      <c r="E13" s="11" t="s">
        <v>82</v>
      </c>
      <c r="F13" s="3"/>
      <c r="G13" s="19"/>
    </row>
    <row r="14" spans="1:7" x14ac:dyDescent="0.3">
      <c r="B14" s="11" t="s">
        <v>13</v>
      </c>
      <c r="C14" s="17">
        <v>900</v>
      </c>
      <c r="D14" s="11" t="s">
        <v>83</v>
      </c>
      <c r="E14" s="13" t="s">
        <v>84</v>
      </c>
      <c r="F14" s="3"/>
      <c r="G14" s="19"/>
    </row>
    <row r="15" spans="1:7" x14ac:dyDescent="0.3">
      <c r="B15" s="11" t="s">
        <v>14</v>
      </c>
      <c r="C15" s="17">
        <v>300</v>
      </c>
      <c r="D15" s="11" t="s">
        <v>85</v>
      </c>
      <c r="E15" s="13"/>
      <c r="F15" s="3"/>
      <c r="G15" s="19"/>
    </row>
    <row r="16" spans="1:7" ht="32.4" x14ac:dyDescent="0.3">
      <c r="B16" s="13" t="s">
        <v>15</v>
      </c>
      <c r="C16" s="17"/>
      <c r="D16" s="11"/>
      <c r="E16" s="13"/>
      <c r="F16" s="3"/>
      <c r="G16" s="19"/>
    </row>
    <row r="17" spans="1:7" x14ac:dyDescent="0.3">
      <c r="B17" s="11" t="s">
        <v>16</v>
      </c>
      <c r="C17" s="17">
        <v>1.2999999999999999E-2</v>
      </c>
      <c r="D17" s="11" t="s">
        <v>86</v>
      </c>
      <c r="E17" s="13"/>
      <c r="F17" s="3"/>
      <c r="G17" s="19"/>
    </row>
    <row r="18" spans="1:7" x14ac:dyDescent="0.3">
      <c r="B18" s="11" t="s">
        <v>17</v>
      </c>
      <c r="C18" s="75">
        <v>0.04</v>
      </c>
      <c r="D18" s="11"/>
      <c r="E18" s="13"/>
      <c r="F18" s="3"/>
      <c r="G18" s="19"/>
    </row>
    <row r="19" spans="1:7" x14ac:dyDescent="0.3">
      <c r="B19" s="11" t="s">
        <v>18</v>
      </c>
      <c r="C19" s="75">
        <v>0.1</v>
      </c>
      <c r="D19" s="11" t="s">
        <v>87</v>
      </c>
      <c r="E19" s="13"/>
      <c r="F19" s="3"/>
      <c r="G19" s="19"/>
    </row>
    <row r="20" spans="1:7" x14ac:dyDescent="0.3">
      <c r="B20" s="11" t="s">
        <v>19</v>
      </c>
      <c r="C20" s="75">
        <v>0.15</v>
      </c>
      <c r="D20" s="11" t="s">
        <v>87</v>
      </c>
      <c r="E20" s="13"/>
      <c r="F20" s="3"/>
      <c r="G20" s="19"/>
    </row>
    <row r="21" spans="1:7" x14ac:dyDescent="0.3">
      <c r="B21" s="11" t="s">
        <v>20</v>
      </c>
      <c r="C21" s="75">
        <v>0.02</v>
      </c>
      <c r="D21" s="11" t="s">
        <v>87</v>
      </c>
      <c r="E21" s="13"/>
      <c r="F21" s="3"/>
      <c r="G21" s="19"/>
    </row>
    <row r="22" spans="1:7" x14ac:dyDescent="0.3">
      <c r="B22" s="11" t="s">
        <v>21</v>
      </c>
      <c r="C22" s="75">
        <v>0.4</v>
      </c>
      <c r="D22" s="11"/>
      <c r="E22" s="13"/>
      <c r="F22" s="3"/>
      <c r="G22" s="19"/>
    </row>
    <row r="23" spans="1:7" x14ac:dyDescent="0.3">
      <c r="B23" s="11" t="s">
        <v>22</v>
      </c>
      <c r="C23" s="75">
        <v>0.11</v>
      </c>
      <c r="D23" s="76" t="s">
        <v>88</v>
      </c>
      <c r="E23" s="13"/>
      <c r="F23" s="3"/>
      <c r="G23" s="19"/>
    </row>
    <row r="24" spans="1:7" x14ac:dyDescent="0.3">
      <c r="B24" s="11" t="s">
        <v>23</v>
      </c>
      <c r="C24" s="17">
        <v>4</v>
      </c>
      <c r="D24" s="11" t="s">
        <v>1</v>
      </c>
      <c r="E24" s="13" t="s">
        <v>89</v>
      </c>
      <c r="F24" s="3"/>
      <c r="G24" s="19"/>
    </row>
    <row r="25" spans="1:7" x14ac:dyDescent="0.3">
      <c r="B25" s="11" t="s">
        <v>24</v>
      </c>
      <c r="C25" s="20">
        <v>0.2</v>
      </c>
      <c r="D25" s="76" t="s">
        <v>88</v>
      </c>
      <c r="E25" s="13"/>
      <c r="F25" s="3"/>
      <c r="G25" s="19"/>
    </row>
    <row r="26" spans="1:7" x14ac:dyDescent="0.3">
      <c r="B26" s="11" t="s">
        <v>25</v>
      </c>
      <c r="C26" s="20">
        <v>0.25</v>
      </c>
      <c r="D26" s="11"/>
      <c r="E26" s="13"/>
      <c r="F26" s="3"/>
      <c r="G26" s="19"/>
    </row>
    <row r="27" spans="1:7" x14ac:dyDescent="0.3">
      <c r="B27" s="11"/>
      <c r="C27" s="20"/>
      <c r="D27" s="11"/>
      <c r="E27" s="13"/>
      <c r="F27" s="3"/>
      <c r="G27" s="19"/>
    </row>
    <row r="28" spans="1:7" x14ac:dyDescent="0.3">
      <c r="B28" s="11"/>
      <c r="C28" s="20"/>
      <c r="D28" s="11"/>
      <c r="E28" s="13"/>
      <c r="F28" s="3"/>
      <c r="G28" s="19"/>
    </row>
    <row r="29" spans="1:7" x14ac:dyDescent="0.3">
      <c r="B29" s="113" t="s">
        <v>90</v>
      </c>
      <c r="C29" s="113"/>
      <c r="D29" s="113"/>
      <c r="E29" s="113"/>
      <c r="F29" s="113"/>
      <c r="G29" s="113"/>
    </row>
    <row r="30" spans="1:7" x14ac:dyDescent="0.3">
      <c r="A30" s="33">
        <v>0.5</v>
      </c>
      <c r="B30" s="114" t="s">
        <v>91</v>
      </c>
      <c r="C30" s="114"/>
      <c r="D30" s="114"/>
      <c r="E30" s="114"/>
      <c r="F30" s="114"/>
      <c r="G30" s="114"/>
    </row>
    <row r="31" spans="1:7" x14ac:dyDescent="0.3">
      <c r="A31" s="33">
        <v>0.5</v>
      </c>
      <c r="B31" s="114" t="s">
        <v>92</v>
      </c>
      <c r="C31" s="114"/>
      <c r="D31" s="114"/>
      <c r="E31" s="114"/>
      <c r="F31" s="114"/>
      <c r="G31" s="114"/>
    </row>
    <row r="32" spans="1:7" x14ac:dyDescent="0.3">
      <c r="A32" s="33">
        <v>0.5</v>
      </c>
      <c r="B32" s="114" t="s">
        <v>93</v>
      </c>
      <c r="C32" s="114"/>
      <c r="D32" s="114"/>
      <c r="E32" s="114"/>
      <c r="F32" s="114"/>
      <c r="G32" s="114"/>
    </row>
    <row r="33" spans="1:8" x14ac:dyDescent="0.3">
      <c r="A33" s="33">
        <v>0.5</v>
      </c>
      <c r="B33" s="114" t="s">
        <v>94</v>
      </c>
      <c r="C33" s="114"/>
      <c r="D33" s="114"/>
      <c r="E33" s="114"/>
      <c r="F33" s="114"/>
      <c r="G33" s="114"/>
    </row>
    <row r="34" spans="1:8" x14ac:dyDescent="0.3">
      <c r="A34" s="33">
        <v>1</v>
      </c>
      <c r="B34" s="114" t="s">
        <v>95</v>
      </c>
      <c r="C34" s="114"/>
      <c r="D34" s="114"/>
      <c r="E34" s="114"/>
      <c r="F34" s="114"/>
      <c r="G34" s="114"/>
    </row>
    <row r="35" spans="1:8" x14ac:dyDescent="0.3">
      <c r="A35" s="33">
        <v>0.5</v>
      </c>
      <c r="B35" s="114" t="s">
        <v>96</v>
      </c>
      <c r="C35" s="114"/>
      <c r="D35" s="114"/>
      <c r="E35" s="114"/>
      <c r="F35" s="114"/>
      <c r="G35" s="114"/>
    </row>
    <row r="36" spans="1:8" x14ac:dyDescent="0.3">
      <c r="A36" s="33">
        <v>0.5</v>
      </c>
      <c r="B36" s="5" t="s">
        <v>97</v>
      </c>
      <c r="C36" s="4"/>
      <c r="D36" s="4"/>
      <c r="E36" s="4"/>
      <c r="F36" s="4"/>
      <c r="G36" s="4"/>
    </row>
    <row r="37" spans="1:8" x14ac:dyDescent="0.3">
      <c r="B37" s="11"/>
      <c r="C37" s="20"/>
      <c r="D37" s="11"/>
      <c r="E37" s="13"/>
      <c r="F37" s="3"/>
      <c r="G37" s="14"/>
    </row>
    <row r="38" spans="1:8" ht="32.4" customHeight="1" x14ac:dyDescent="0.3">
      <c r="B38" s="113" t="s">
        <v>91</v>
      </c>
      <c r="C38" s="113"/>
      <c r="D38" s="113"/>
      <c r="E38" s="113"/>
      <c r="F38" s="113"/>
      <c r="G38" s="113"/>
    </row>
    <row r="39" spans="1:8" ht="17.399999999999999" x14ac:dyDescent="0.35">
      <c r="B39" s="78" t="s">
        <v>4</v>
      </c>
      <c r="C39" s="79">
        <v>0</v>
      </c>
      <c r="D39" s="63">
        <v>1</v>
      </c>
      <c r="E39" s="63">
        <v>2</v>
      </c>
      <c r="F39" s="63">
        <v>3</v>
      </c>
      <c r="G39" s="63">
        <v>4</v>
      </c>
      <c r="H39" s="63">
        <v>5</v>
      </c>
    </row>
    <row r="40" spans="1:8" x14ac:dyDescent="0.3">
      <c r="B40" s="15" t="s">
        <v>102</v>
      </c>
      <c r="C40" s="15"/>
      <c r="D40" s="15">
        <f>$C$42/$C$13</f>
        <v>1040</v>
      </c>
      <c r="E40" s="15">
        <f t="shared" ref="E40:H40" si="0">$C$42/$C$13</f>
        <v>1040</v>
      </c>
      <c r="F40" s="15">
        <f t="shared" si="0"/>
        <v>1040</v>
      </c>
      <c r="G40" s="15">
        <f t="shared" si="0"/>
        <v>1040</v>
      </c>
      <c r="H40" s="15">
        <f t="shared" si="0"/>
        <v>1040</v>
      </c>
    </row>
    <row r="41" spans="1:8" x14ac:dyDescent="0.3">
      <c r="B41" s="15" t="s">
        <v>103</v>
      </c>
      <c r="C41" s="15"/>
      <c r="D41" s="15">
        <f>D40+C41</f>
        <v>1040</v>
      </c>
      <c r="E41" s="15">
        <f t="shared" ref="E41:H41" si="1">E40+D41</f>
        <v>2080</v>
      </c>
      <c r="F41" s="15">
        <f t="shared" si="1"/>
        <v>3120</v>
      </c>
      <c r="G41" s="15">
        <f t="shared" si="1"/>
        <v>4160</v>
      </c>
      <c r="H41" s="15">
        <f t="shared" si="1"/>
        <v>5200</v>
      </c>
    </row>
    <row r="42" spans="1:8" x14ac:dyDescent="0.3">
      <c r="B42" s="15" t="s">
        <v>104</v>
      </c>
      <c r="C42" s="15">
        <f>C11+C12</f>
        <v>5200</v>
      </c>
      <c r="D42" s="15">
        <f>C42-D40</f>
        <v>4160</v>
      </c>
      <c r="E42" s="15">
        <f t="shared" ref="E42:H42" si="2">D42-E40</f>
        <v>3120</v>
      </c>
      <c r="F42" s="15">
        <f t="shared" si="2"/>
        <v>2080</v>
      </c>
      <c r="G42" s="15">
        <f t="shared" si="2"/>
        <v>1040</v>
      </c>
      <c r="H42" s="15">
        <f t="shared" si="2"/>
        <v>0</v>
      </c>
    </row>
    <row r="43" spans="1:8" x14ac:dyDescent="0.3">
      <c r="B43" s="7"/>
      <c r="C43" s="7"/>
      <c r="D43" s="7"/>
      <c r="E43" s="7"/>
      <c r="F43" s="7"/>
      <c r="G43" s="7"/>
    </row>
    <row r="44" spans="1:8" x14ac:dyDescent="0.3">
      <c r="B44" s="113" t="s">
        <v>99</v>
      </c>
      <c r="C44" s="113"/>
      <c r="D44" s="113"/>
      <c r="E44" s="113"/>
      <c r="F44" s="113"/>
      <c r="G44" s="113"/>
    </row>
    <row r="45" spans="1:8" ht="17.399999999999999" x14ac:dyDescent="0.35">
      <c r="B45" s="78" t="s">
        <v>4</v>
      </c>
      <c r="C45" s="79">
        <v>0</v>
      </c>
      <c r="D45" s="63">
        <v>1</v>
      </c>
      <c r="E45" s="63">
        <v>2</v>
      </c>
      <c r="F45" s="63">
        <v>3</v>
      </c>
      <c r="G45" s="63">
        <v>4</v>
      </c>
    </row>
    <row r="46" spans="1:8" x14ac:dyDescent="0.3">
      <c r="B46" s="15" t="s">
        <v>56</v>
      </c>
      <c r="C46" s="15"/>
      <c r="D46" s="80">
        <f>C51</f>
        <v>2080</v>
      </c>
      <c r="E46" s="80">
        <f t="shared" ref="E46:G46" si="3">D51</f>
        <v>1638.3611887812701</v>
      </c>
      <c r="F46" s="80">
        <f t="shared" si="3"/>
        <v>1148.1421083284799</v>
      </c>
      <c r="G46" s="80">
        <f t="shared" si="3"/>
        <v>603.99892902588283</v>
      </c>
    </row>
    <row r="47" spans="1:8" x14ac:dyDescent="0.3">
      <c r="B47" s="15" t="s">
        <v>57</v>
      </c>
      <c r="C47" s="15">
        <f>C22*C10</f>
        <v>2080</v>
      </c>
      <c r="D47" s="80"/>
      <c r="E47" s="80"/>
      <c r="F47" s="80"/>
      <c r="G47" s="80"/>
    </row>
    <row r="48" spans="1:8" x14ac:dyDescent="0.3">
      <c r="B48" s="15" t="s">
        <v>58</v>
      </c>
      <c r="C48" s="15"/>
      <c r="D48" s="81">
        <f>D49+D50</f>
        <v>670.43881121872982</v>
      </c>
      <c r="E48" s="81">
        <f t="shared" ref="E48:G48" si="4">E49+E50</f>
        <v>670.43881121872994</v>
      </c>
      <c r="F48" s="81">
        <f t="shared" si="4"/>
        <v>670.43881121872994</v>
      </c>
      <c r="G48" s="81">
        <f t="shared" si="4"/>
        <v>670.43881121872994</v>
      </c>
    </row>
    <row r="49" spans="2:8" x14ac:dyDescent="0.3">
      <c r="B49" s="15" t="s">
        <v>59</v>
      </c>
      <c r="C49" s="15"/>
      <c r="D49" s="80">
        <f>-PPMT($C$23,D45,$C$24,$C$47)</f>
        <v>441.63881121872987</v>
      </c>
      <c r="E49" s="80">
        <f t="shared" ref="E49:G49" si="5">-PPMT($C$23,E45,$C$24,$C$47)</f>
        <v>490.21908045279019</v>
      </c>
      <c r="F49" s="80">
        <f t="shared" si="5"/>
        <v>544.1431793025971</v>
      </c>
      <c r="G49" s="80">
        <f t="shared" si="5"/>
        <v>603.99892902588283</v>
      </c>
    </row>
    <row r="50" spans="2:8" x14ac:dyDescent="0.3">
      <c r="B50" s="15" t="s">
        <v>60</v>
      </c>
      <c r="C50" s="15"/>
      <c r="D50" s="80">
        <f>-IPMT($C$23,D45,$C$24,$C$47)</f>
        <v>228.8</v>
      </c>
      <c r="E50" s="80">
        <f t="shared" ref="E50:G50" si="6">-IPMT($C$23,E45,$C$24,$C$47)</f>
        <v>180.21973076593972</v>
      </c>
      <c r="F50" s="80">
        <f t="shared" si="6"/>
        <v>126.29563191613279</v>
      </c>
      <c r="G50" s="80">
        <f t="shared" si="6"/>
        <v>66.439882192847094</v>
      </c>
    </row>
    <row r="51" spans="2:8" x14ac:dyDescent="0.3">
      <c r="B51" s="15" t="s">
        <v>61</v>
      </c>
      <c r="C51" s="15">
        <f>C46+C47-C49</f>
        <v>2080</v>
      </c>
      <c r="D51" s="82">
        <f>D46-D49</f>
        <v>1638.3611887812701</v>
      </c>
      <c r="E51" s="82">
        <f t="shared" ref="E51:G51" si="7">E46-E49</f>
        <v>1148.1421083284799</v>
      </c>
      <c r="F51" s="82">
        <f t="shared" si="7"/>
        <v>603.99892902588283</v>
      </c>
      <c r="G51" s="82">
        <f t="shared" si="7"/>
        <v>0</v>
      </c>
    </row>
    <row r="52" spans="2:8" x14ac:dyDescent="0.3">
      <c r="B52" s="7"/>
      <c r="C52" s="7"/>
      <c r="D52" s="7"/>
      <c r="E52" s="7"/>
      <c r="F52" s="7"/>
      <c r="G52" s="7"/>
    </row>
    <row r="53" spans="2:8" x14ac:dyDescent="0.3">
      <c r="B53" s="1" t="s">
        <v>93</v>
      </c>
      <c r="C53" s="7"/>
      <c r="D53" s="7"/>
      <c r="E53" s="7"/>
      <c r="F53" s="7"/>
      <c r="G53" s="7"/>
    </row>
    <row r="54" spans="2:8" ht="17.399999999999999" x14ac:dyDescent="0.35">
      <c r="B54" s="78" t="s">
        <v>4</v>
      </c>
      <c r="C54" s="79">
        <v>0</v>
      </c>
      <c r="D54" s="63">
        <v>1</v>
      </c>
      <c r="E54" s="63">
        <v>2</v>
      </c>
      <c r="F54" s="63">
        <v>3</v>
      </c>
      <c r="G54" s="83">
        <v>4</v>
      </c>
      <c r="H54" s="84"/>
    </row>
    <row r="55" spans="2:8" x14ac:dyDescent="0.3">
      <c r="B55" s="15" t="s">
        <v>7</v>
      </c>
      <c r="C55" s="15"/>
      <c r="D55" s="82">
        <f>$C$7*D6</f>
        <v>300000</v>
      </c>
      <c r="E55" s="82">
        <f t="shared" ref="E55:G55" si="8">$C$7*E6</f>
        <v>350000</v>
      </c>
      <c r="F55" s="82">
        <f t="shared" si="8"/>
        <v>450000</v>
      </c>
      <c r="G55" s="82">
        <f t="shared" si="8"/>
        <v>475000</v>
      </c>
      <c r="H55" s="7"/>
    </row>
    <row r="56" spans="2:8" x14ac:dyDescent="0.3">
      <c r="B56" s="15" t="s">
        <v>105</v>
      </c>
      <c r="C56" s="15"/>
      <c r="D56" s="82">
        <f>C8</f>
        <v>3.5000000000000003E-2</v>
      </c>
      <c r="E56" s="82">
        <f>D56*(1+E9)</f>
        <v>3.6750000000000005E-2</v>
      </c>
      <c r="F56" s="82">
        <f t="shared" ref="F56:G56" si="9">E56*(1+F9)</f>
        <v>3.8587500000000004E-2</v>
      </c>
      <c r="G56" s="82">
        <f t="shared" si="9"/>
        <v>3.9745125000000006E-2</v>
      </c>
    </row>
    <row r="57" spans="2:8" x14ac:dyDescent="0.3">
      <c r="B57" s="15" t="s">
        <v>106</v>
      </c>
      <c r="C57" s="58"/>
      <c r="D57" s="90">
        <f>D55*D56</f>
        <v>10500.000000000002</v>
      </c>
      <c r="E57" s="90">
        <f t="shared" ref="E57:G57" si="10">E55*E56</f>
        <v>12862.500000000002</v>
      </c>
      <c r="F57" s="90">
        <f t="shared" si="10"/>
        <v>17364.375</v>
      </c>
      <c r="G57" s="90">
        <f t="shared" si="10"/>
        <v>18878.934375000004</v>
      </c>
    </row>
    <row r="58" spans="2:8" x14ac:dyDescent="0.3">
      <c r="B58" s="7"/>
      <c r="C58" s="7"/>
      <c r="D58" s="7"/>
      <c r="E58" s="7"/>
      <c r="F58" s="7"/>
      <c r="G58" s="7"/>
    </row>
    <row r="59" spans="2:8" x14ac:dyDescent="0.3">
      <c r="B59" s="1" t="s">
        <v>100</v>
      </c>
      <c r="C59" s="7"/>
      <c r="D59" s="7"/>
      <c r="E59" s="7"/>
      <c r="F59" s="7"/>
      <c r="G59" s="7"/>
    </row>
    <row r="60" spans="2:8" ht="17.399999999999999" x14ac:dyDescent="0.35">
      <c r="B60" s="78" t="s">
        <v>4</v>
      </c>
      <c r="C60" s="79">
        <v>0</v>
      </c>
      <c r="D60" s="63">
        <v>1</v>
      </c>
      <c r="E60" s="63">
        <v>2</v>
      </c>
      <c r="F60" s="63">
        <v>3</v>
      </c>
      <c r="G60" s="83">
        <v>4</v>
      </c>
    </row>
    <row r="61" spans="2:8" x14ac:dyDescent="0.3">
      <c r="B61" s="15" t="s">
        <v>107</v>
      </c>
      <c r="C61" s="15"/>
      <c r="D61" s="80">
        <f>$C$17*D55</f>
        <v>3900</v>
      </c>
      <c r="E61" s="80">
        <f t="shared" ref="E61:G61" si="11">$C$17*E55</f>
        <v>4550</v>
      </c>
      <c r="F61" s="80">
        <f t="shared" si="11"/>
        <v>5850</v>
      </c>
      <c r="G61" s="80">
        <f t="shared" si="11"/>
        <v>6175</v>
      </c>
    </row>
    <row r="62" spans="2:8" x14ac:dyDescent="0.3">
      <c r="B62" s="85" t="s">
        <v>18</v>
      </c>
      <c r="C62" s="15"/>
      <c r="D62" s="80">
        <f>$C$19*D57</f>
        <v>1050.0000000000002</v>
      </c>
      <c r="E62" s="80">
        <f t="shared" ref="E62:G62" si="12">$C$19*E57</f>
        <v>1286.2500000000002</v>
      </c>
      <c r="F62" s="80">
        <f t="shared" si="12"/>
        <v>1736.4375</v>
      </c>
      <c r="G62" s="80">
        <f t="shared" si="12"/>
        <v>1887.8934375000006</v>
      </c>
    </row>
    <row r="63" spans="2:8" x14ac:dyDescent="0.3">
      <c r="B63" s="85" t="s">
        <v>19</v>
      </c>
      <c r="C63" s="15"/>
      <c r="D63" s="80">
        <f>$C$20*D57</f>
        <v>1575.0000000000002</v>
      </c>
      <c r="E63" s="80">
        <f t="shared" ref="E63:G63" si="13">$C$20*E57</f>
        <v>1929.3750000000002</v>
      </c>
      <c r="F63" s="80">
        <f t="shared" si="13"/>
        <v>2604.65625</v>
      </c>
      <c r="G63" s="80">
        <f t="shared" si="13"/>
        <v>2831.8401562500007</v>
      </c>
    </row>
    <row r="64" spans="2:8" x14ac:dyDescent="0.3">
      <c r="B64" s="85" t="s">
        <v>20</v>
      </c>
      <c r="C64" s="15"/>
      <c r="D64" s="80">
        <f>$C$21*D57</f>
        <v>210.00000000000003</v>
      </c>
      <c r="E64" s="80">
        <f t="shared" ref="E64:G64" si="14">$C$21*E57</f>
        <v>257.25000000000006</v>
      </c>
      <c r="F64" s="80">
        <f t="shared" si="14"/>
        <v>347.28750000000002</v>
      </c>
      <c r="G64" s="80">
        <f t="shared" si="14"/>
        <v>377.57868750000011</v>
      </c>
    </row>
    <row r="65" spans="2:7" x14ac:dyDescent="0.3">
      <c r="B65" s="85" t="s">
        <v>13</v>
      </c>
      <c r="C65" s="15"/>
      <c r="D65" s="80">
        <f>$C$14</f>
        <v>900</v>
      </c>
      <c r="E65" s="80">
        <f t="shared" ref="E65:G65" si="15">$C$14</f>
        <v>900</v>
      </c>
      <c r="F65" s="80">
        <f t="shared" si="15"/>
        <v>900</v>
      </c>
      <c r="G65" s="80">
        <f t="shared" si="15"/>
        <v>900</v>
      </c>
    </row>
    <row r="66" spans="2:7" x14ac:dyDescent="0.3">
      <c r="B66" s="85" t="s">
        <v>14</v>
      </c>
      <c r="C66" s="15"/>
      <c r="D66" s="80">
        <f>$C$15</f>
        <v>300</v>
      </c>
      <c r="E66" s="80">
        <f t="shared" ref="E66:G66" si="16">$C$15</f>
        <v>300</v>
      </c>
      <c r="F66" s="80">
        <f t="shared" si="16"/>
        <v>300</v>
      </c>
      <c r="G66" s="80">
        <f t="shared" si="16"/>
        <v>300</v>
      </c>
    </row>
    <row r="67" spans="2:7" x14ac:dyDescent="0.3">
      <c r="B67" s="68" t="s">
        <v>108</v>
      </c>
      <c r="C67" s="86"/>
      <c r="D67" s="81">
        <f>SUM(D61:D66)</f>
        <v>7935</v>
      </c>
      <c r="E67" s="81">
        <f t="shared" ref="E67:G67" si="17">SUM(E61:E66)</f>
        <v>9222.875</v>
      </c>
      <c r="F67" s="81">
        <f t="shared" si="17"/>
        <v>11738.38125</v>
      </c>
      <c r="G67" s="81">
        <f t="shared" si="17"/>
        <v>12472.312281250001</v>
      </c>
    </row>
    <row r="68" spans="2:7" x14ac:dyDescent="0.3">
      <c r="B68" s="7"/>
      <c r="C68" s="7"/>
      <c r="D68" s="22"/>
      <c r="E68" s="22"/>
      <c r="F68" s="22"/>
      <c r="G68" s="22"/>
    </row>
    <row r="69" spans="2:7" ht="17.399999999999999" x14ac:dyDescent="0.35">
      <c r="B69" s="24"/>
      <c r="C69" s="24"/>
      <c r="D69" s="24"/>
      <c r="E69" s="24"/>
      <c r="F69" s="24"/>
      <c r="G69" s="24"/>
    </row>
    <row r="70" spans="2:7" x14ac:dyDescent="0.3">
      <c r="B70" s="1" t="s">
        <v>101</v>
      </c>
      <c r="C70" s="7"/>
      <c r="D70" s="7"/>
      <c r="E70" s="7"/>
      <c r="F70" s="7"/>
      <c r="G70" s="7"/>
    </row>
    <row r="71" spans="2:7" ht="17.399999999999999" x14ac:dyDescent="0.35">
      <c r="B71" s="78" t="s">
        <v>4</v>
      </c>
      <c r="C71" s="79">
        <v>0</v>
      </c>
      <c r="D71" s="63">
        <v>1</v>
      </c>
      <c r="E71" s="63">
        <v>2</v>
      </c>
      <c r="F71" s="63">
        <v>3</v>
      </c>
      <c r="G71" s="83">
        <v>4</v>
      </c>
    </row>
    <row r="72" spans="2:7" x14ac:dyDescent="0.3">
      <c r="B72" s="15" t="s">
        <v>106</v>
      </c>
      <c r="C72" s="15"/>
      <c r="D72" s="80">
        <f>D57</f>
        <v>10500.000000000002</v>
      </c>
      <c r="E72" s="80">
        <f t="shared" ref="E72:G72" si="18">E57</f>
        <v>12862.500000000002</v>
      </c>
      <c r="F72" s="80">
        <f t="shared" si="18"/>
        <v>17364.375</v>
      </c>
      <c r="G72" s="80">
        <f t="shared" si="18"/>
        <v>18878.934375000004</v>
      </c>
    </row>
    <row r="73" spans="2:7" x14ac:dyDescent="0.3">
      <c r="B73" s="15" t="s">
        <v>109</v>
      </c>
      <c r="C73" s="15"/>
      <c r="D73" s="80">
        <f>D67</f>
        <v>7935</v>
      </c>
      <c r="E73" s="80">
        <f t="shared" ref="E73:G73" si="19">E67</f>
        <v>9222.875</v>
      </c>
      <c r="F73" s="80">
        <f t="shared" si="19"/>
        <v>11738.38125</v>
      </c>
      <c r="G73" s="80">
        <f t="shared" si="19"/>
        <v>12472.312281250001</v>
      </c>
    </row>
    <row r="74" spans="2:7" x14ac:dyDescent="0.3">
      <c r="B74" s="15" t="s">
        <v>110</v>
      </c>
      <c r="C74" s="15"/>
      <c r="D74" s="80">
        <f>D72-D73</f>
        <v>2565.0000000000018</v>
      </c>
      <c r="E74" s="80">
        <f t="shared" ref="E74:G74" si="20">E72-E73</f>
        <v>3639.6250000000018</v>
      </c>
      <c r="F74" s="80">
        <f t="shared" si="20"/>
        <v>5625.9937499999996</v>
      </c>
      <c r="G74" s="80">
        <f t="shared" si="20"/>
        <v>6406.6220937500038</v>
      </c>
    </row>
    <row r="75" spans="2:7" x14ac:dyDescent="0.3">
      <c r="B75" s="15" t="s">
        <v>111</v>
      </c>
      <c r="C75" s="15"/>
      <c r="D75" s="80">
        <f>D40</f>
        <v>1040</v>
      </c>
      <c r="E75" s="80">
        <f t="shared" ref="E75:G75" si="21">E40</f>
        <v>1040</v>
      </c>
      <c r="F75" s="80">
        <f t="shared" si="21"/>
        <v>1040</v>
      </c>
      <c r="G75" s="80">
        <f t="shared" si="21"/>
        <v>1040</v>
      </c>
    </row>
    <row r="76" spans="2:7" x14ac:dyDescent="0.3">
      <c r="B76" s="15" t="s">
        <v>112</v>
      </c>
      <c r="C76" s="15"/>
      <c r="D76" s="80">
        <f>D74-D75</f>
        <v>1525.0000000000018</v>
      </c>
      <c r="E76" s="80">
        <f t="shared" ref="E76:G76" si="22">E74-E75</f>
        <v>2599.6250000000018</v>
      </c>
      <c r="F76" s="80">
        <f t="shared" si="22"/>
        <v>4585.9937499999996</v>
      </c>
      <c r="G76" s="80">
        <f t="shared" si="22"/>
        <v>5366.6220937500038</v>
      </c>
    </row>
    <row r="77" spans="2:7" x14ac:dyDescent="0.3">
      <c r="B77" s="15" t="s">
        <v>113</v>
      </c>
      <c r="C77" s="15"/>
      <c r="D77" s="80">
        <f>D50</f>
        <v>228.8</v>
      </c>
      <c r="E77" s="80">
        <f t="shared" ref="E77:G77" si="23">E50</f>
        <v>180.21973076593972</v>
      </c>
      <c r="F77" s="80">
        <f t="shared" si="23"/>
        <v>126.29563191613279</v>
      </c>
      <c r="G77" s="80">
        <f t="shared" si="23"/>
        <v>66.439882192847094</v>
      </c>
    </row>
    <row r="78" spans="2:7" x14ac:dyDescent="0.3">
      <c r="B78" s="15" t="s">
        <v>114</v>
      </c>
      <c r="C78" s="15"/>
      <c r="D78" s="80">
        <f>D76-D77</f>
        <v>1296.2000000000019</v>
      </c>
      <c r="E78" s="80">
        <f t="shared" ref="E78:G78" si="24">E76-E77</f>
        <v>2419.405269234062</v>
      </c>
      <c r="F78" s="80">
        <f t="shared" si="24"/>
        <v>4459.6981180838666</v>
      </c>
      <c r="G78" s="80">
        <f t="shared" si="24"/>
        <v>5300.1822115571567</v>
      </c>
    </row>
    <row r="79" spans="2:7" x14ac:dyDescent="0.3">
      <c r="B79" s="15" t="s">
        <v>115</v>
      </c>
      <c r="C79" s="15"/>
      <c r="D79" s="80">
        <f>MAX(0,D78*$C$25)</f>
        <v>259.24000000000041</v>
      </c>
      <c r="E79" s="80">
        <f t="shared" ref="E79:G79" si="25">MAX(0,E78*$C$25)</f>
        <v>483.88105384681239</v>
      </c>
      <c r="F79" s="80">
        <f t="shared" si="25"/>
        <v>891.93962361677336</v>
      </c>
      <c r="G79" s="80">
        <f t="shared" si="25"/>
        <v>1060.0364423114313</v>
      </c>
    </row>
    <row r="80" spans="2:7" x14ac:dyDescent="0.3">
      <c r="B80" s="68" t="s">
        <v>116</v>
      </c>
      <c r="C80" s="68"/>
      <c r="D80" s="81">
        <f>D78-D79</f>
        <v>1036.9600000000014</v>
      </c>
      <c r="E80" s="81">
        <f t="shared" ref="E80:G80" si="26">E78-E79</f>
        <v>1935.5242153872496</v>
      </c>
      <c r="F80" s="81">
        <f t="shared" si="26"/>
        <v>3567.7584944670934</v>
      </c>
      <c r="G80" s="81">
        <f t="shared" si="26"/>
        <v>4240.1457692457252</v>
      </c>
    </row>
    <row r="81" spans="2:8" x14ac:dyDescent="0.3">
      <c r="B81" s="7"/>
      <c r="C81" s="7"/>
      <c r="D81" s="22"/>
      <c r="E81" s="22"/>
      <c r="F81" s="22"/>
      <c r="G81" s="22"/>
    </row>
    <row r="82" spans="2:8" x14ac:dyDescent="0.3">
      <c r="B82" s="7"/>
      <c r="C82" s="7"/>
      <c r="D82" s="7"/>
      <c r="E82" s="7"/>
      <c r="F82" s="7"/>
      <c r="G82" s="7"/>
    </row>
    <row r="83" spans="2:8" x14ac:dyDescent="0.3">
      <c r="B83" s="7"/>
      <c r="C83" s="7"/>
      <c r="D83" s="7"/>
      <c r="E83" s="7"/>
      <c r="F83" s="7"/>
      <c r="G83" s="7"/>
    </row>
    <row r="84" spans="2:8" x14ac:dyDescent="0.3">
      <c r="B84" s="1" t="s">
        <v>123</v>
      </c>
      <c r="C84" s="7"/>
      <c r="D84" s="7"/>
      <c r="E84" s="7"/>
      <c r="F84" s="7"/>
      <c r="G84" s="7"/>
    </row>
    <row r="85" spans="2:8" ht="17.399999999999999" x14ac:dyDescent="0.35">
      <c r="B85" s="78" t="s">
        <v>4</v>
      </c>
      <c r="C85" s="79">
        <v>0</v>
      </c>
      <c r="D85" s="63">
        <v>1</v>
      </c>
      <c r="E85" s="63">
        <v>2</v>
      </c>
      <c r="F85" s="63">
        <v>3</v>
      </c>
      <c r="G85" s="63">
        <v>4</v>
      </c>
      <c r="H85" s="63">
        <v>5</v>
      </c>
    </row>
    <row r="86" spans="2:8" x14ac:dyDescent="0.3">
      <c r="B86" s="87" t="s">
        <v>124</v>
      </c>
      <c r="C86" s="65"/>
      <c r="D86" s="80">
        <f>D80</f>
        <v>1036.9600000000014</v>
      </c>
      <c r="E86" s="80">
        <f t="shared" ref="E86:G86" si="27">E80</f>
        <v>1935.5242153872496</v>
      </c>
      <c r="F86" s="80">
        <f t="shared" si="27"/>
        <v>3567.7584944670934</v>
      </c>
      <c r="G86" s="80">
        <f t="shared" si="27"/>
        <v>4240.1457692457252</v>
      </c>
      <c r="H86" s="80"/>
    </row>
    <row r="87" spans="2:8" x14ac:dyDescent="0.3">
      <c r="B87" s="87" t="s">
        <v>117</v>
      </c>
      <c r="C87" s="65"/>
      <c r="D87" s="80">
        <f>D75</f>
        <v>1040</v>
      </c>
      <c r="E87" s="80">
        <f t="shared" ref="E87:G87" si="28">E75</f>
        <v>1040</v>
      </c>
      <c r="F87" s="80">
        <f t="shared" si="28"/>
        <v>1040</v>
      </c>
      <c r="G87" s="80">
        <f t="shared" si="28"/>
        <v>1040</v>
      </c>
      <c r="H87" s="80"/>
    </row>
    <row r="88" spans="2:8" x14ac:dyDescent="0.3">
      <c r="B88" s="87" t="s">
        <v>118</v>
      </c>
      <c r="C88" s="65"/>
      <c r="D88" s="15"/>
      <c r="E88" s="65"/>
      <c r="F88" s="65"/>
      <c r="G88" s="65"/>
      <c r="H88" s="89">
        <f>G42</f>
        <v>1040</v>
      </c>
    </row>
    <row r="89" spans="2:8" x14ac:dyDescent="0.3">
      <c r="B89" s="87" t="s">
        <v>119</v>
      </c>
      <c r="C89" s="65">
        <f>-C10</f>
        <v>-5200</v>
      </c>
      <c r="D89" s="65"/>
      <c r="E89" s="65"/>
      <c r="F89" s="65"/>
      <c r="G89" s="65"/>
      <c r="H89" s="89"/>
    </row>
    <row r="90" spans="2:8" x14ac:dyDescent="0.3">
      <c r="B90" s="87" t="s">
        <v>120</v>
      </c>
      <c r="C90" s="65">
        <f>+C47</f>
        <v>2080</v>
      </c>
      <c r="D90" s="65"/>
      <c r="E90" s="65"/>
      <c r="F90" s="65"/>
      <c r="G90" s="65"/>
      <c r="H90" s="89"/>
    </row>
    <row r="91" spans="2:8" x14ac:dyDescent="0.3">
      <c r="B91" s="87" t="s">
        <v>121</v>
      </c>
      <c r="C91" s="65"/>
      <c r="D91" s="80">
        <f>-D49</f>
        <v>-441.63881121872987</v>
      </c>
      <c r="E91" s="80">
        <f>-E49</f>
        <v>-490.21908045279019</v>
      </c>
      <c r="F91" s="80">
        <f>-F49</f>
        <v>-544.1431793025971</v>
      </c>
      <c r="G91" s="80">
        <f>-G49</f>
        <v>-603.99892902588283</v>
      </c>
      <c r="H91" s="80"/>
    </row>
    <row r="92" spans="2:8" x14ac:dyDescent="0.3">
      <c r="B92" s="88" t="s">
        <v>122</v>
      </c>
      <c r="C92" s="80">
        <f>SUM(C86:C91)</f>
        <v>-3120</v>
      </c>
      <c r="D92" s="80">
        <f t="shared" ref="D92:H92" si="29">SUM(D86:D91)</f>
        <v>1635.3211887812715</v>
      </c>
      <c r="E92" s="80">
        <f t="shared" si="29"/>
        <v>2485.3051349344596</v>
      </c>
      <c r="F92" s="80">
        <f t="shared" si="29"/>
        <v>4063.6153151644962</v>
      </c>
      <c r="G92" s="80">
        <f t="shared" si="29"/>
        <v>4676.1468402198425</v>
      </c>
      <c r="H92" s="80">
        <f t="shared" si="29"/>
        <v>1040</v>
      </c>
    </row>
    <row r="93" spans="2:8" x14ac:dyDescent="0.3">
      <c r="B93" s="25"/>
      <c r="C93" s="22"/>
      <c r="D93" s="22"/>
      <c r="E93" s="22"/>
      <c r="F93" s="22"/>
      <c r="G93" s="22"/>
    </row>
    <row r="94" spans="2:8" x14ac:dyDescent="0.3">
      <c r="B94" s="7"/>
      <c r="C94" s="7"/>
      <c r="D94" s="7"/>
      <c r="E94" s="7"/>
      <c r="F94" s="7"/>
      <c r="G94" s="7"/>
    </row>
    <row r="95" spans="2:8" x14ac:dyDescent="0.3">
      <c r="B95" s="113" t="s">
        <v>97</v>
      </c>
      <c r="C95" s="113"/>
      <c r="D95" s="113"/>
      <c r="E95" s="113"/>
      <c r="F95" s="113"/>
      <c r="G95" s="25"/>
    </row>
    <row r="96" spans="2:8" x14ac:dyDescent="0.3">
      <c r="B96" s="7" t="s">
        <v>26</v>
      </c>
      <c r="C96" s="57">
        <f>NPV(C26,D92:H92)+C92</f>
        <v>4115.5602245013415</v>
      </c>
      <c r="D96" s="7"/>
      <c r="E96" s="7"/>
      <c r="F96" s="7"/>
      <c r="G96" s="7"/>
    </row>
    <row r="97" spans="2:7" x14ac:dyDescent="0.3">
      <c r="B97" s="7" t="s">
        <v>27</v>
      </c>
      <c r="C97" s="30">
        <f>IRR(C92:H92)</f>
        <v>0.73700184286791082</v>
      </c>
      <c r="D97" s="7"/>
      <c r="E97" s="7"/>
      <c r="F97" s="7"/>
      <c r="G97" s="7"/>
    </row>
    <row r="98" spans="2:7" x14ac:dyDescent="0.3">
      <c r="B98" s="26"/>
      <c r="C98" s="7"/>
      <c r="D98" s="7"/>
      <c r="E98" s="7"/>
      <c r="F98" s="7"/>
      <c r="G98" s="7"/>
    </row>
    <row r="99" spans="2:7" x14ac:dyDescent="0.3">
      <c r="B99" s="27"/>
      <c r="C99" s="7"/>
      <c r="D99" s="7"/>
      <c r="E99" s="7"/>
      <c r="F99" s="7"/>
      <c r="G99" s="7"/>
    </row>
    <row r="100" spans="2:7" x14ac:dyDescent="0.3">
      <c r="B100" s="7"/>
      <c r="C100" s="22"/>
      <c r="D100" s="22"/>
      <c r="E100" s="22"/>
      <c r="F100" s="22"/>
      <c r="G100" s="22"/>
    </row>
    <row r="101" spans="2:7" x14ac:dyDescent="0.3">
      <c r="B101" s="7"/>
      <c r="C101" s="28"/>
      <c r="D101" s="28"/>
      <c r="E101" s="28"/>
      <c r="F101" s="28"/>
      <c r="G101" s="28"/>
    </row>
    <row r="102" spans="2:7" x14ac:dyDescent="0.3">
      <c r="B102" s="7"/>
      <c r="C102" s="7"/>
      <c r="D102" s="7"/>
      <c r="E102" s="7"/>
      <c r="F102" s="7"/>
      <c r="G102" s="7"/>
    </row>
    <row r="103" spans="2:7" x14ac:dyDescent="0.3">
      <c r="B103" s="7"/>
      <c r="C103" s="7"/>
      <c r="D103" s="7"/>
      <c r="E103" s="7"/>
      <c r="F103" s="7"/>
      <c r="G103" s="7"/>
    </row>
    <row r="104" spans="2:7" x14ac:dyDescent="0.3">
      <c r="B104" s="7"/>
      <c r="C104" s="7"/>
      <c r="D104" s="7"/>
      <c r="E104" s="7"/>
      <c r="F104" s="7"/>
      <c r="G104" s="7"/>
    </row>
    <row r="105" spans="2:7" x14ac:dyDescent="0.3">
      <c r="B105" s="7"/>
      <c r="C105" s="7"/>
      <c r="D105" s="7"/>
      <c r="E105" s="7"/>
      <c r="F105" s="7"/>
      <c r="G105" s="7"/>
    </row>
    <row r="106" spans="2:7" x14ac:dyDescent="0.3">
      <c r="B106" s="7"/>
      <c r="C106" s="7"/>
      <c r="D106" s="7"/>
      <c r="E106" s="7"/>
      <c r="F106" s="7"/>
      <c r="G106" s="7"/>
    </row>
    <row r="107" spans="2:7" x14ac:dyDescent="0.3">
      <c r="B107" s="1"/>
      <c r="C107" s="8"/>
      <c r="D107" s="9"/>
      <c r="E107" s="7"/>
      <c r="F107" s="7"/>
      <c r="G107" s="7"/>
    </row>
    <row r="108" spans="2:7" x14ac:dyDescent="0.3">
      <c r="B108" s="54"/>
      <c r="C108" s="54"/>
      <c r="D108" s="54"/>
      <c r="E108" s="54"/>
      <c r="F108" s="7"/>
      <c r="G108" s="7"/>
    </row>
    <row r="109" spans="2:7" x14ac:dyDescent="0.3">
      <c r="B109" s="6"/>
      <c r="C109" s="54"/>
      <c r="D109" s="54"/>
      <c r="E109" s="54"/>
      <c r="F109" s="7"/>
      <c r="G109" s="7"/>
    </row>
    <row r="110" spans="2:7" x14ac:dyDescent="0.3">
      <c r="B110" s="6"/>
      <c r="C110" s="54"/>
      <c r="D110" s="54"/>
      <c r="E110" s="54"/>
      <c r="F110" s="7"/>
      <c r="G110" s="7"/>
    </row>
    <row r="111" spans="2:7" x14ac:dyDescent="0.3">
      <c r="B111" s="6"/>
      <c r="C111" s="10"/>
      <c r="D111" s="10"/>
      <c r="E111" s="10"/>
      <c r="F111" s="7"/>
      <c r="G111" s="7"/>
    </row>
  </sheetData>
  <mergeCells count="11">
    <mergeCell ref="B95:F95"/>
    <mergeCell ref="B32:G32"/>
    <mergeCell ref="B33:G33"/>
    <mergeCell ref="B34:G34"/>
    <mergeCell ref="B35:G35"/>
    <mergeCell ref="B38:G38"/>
    <mergeCell ref="B3:G3"/>
    <mergeCell ref="B29:G29"/>
    <mergeCell ref="B30:G30"/>
    <mergeCell ref="B31:G31"/>
    <mergeCell ref="B44:G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câu 1</vt:lpstr>
      <vt:lpstr>câu 2</vt:lpstr>
      <vt:lpstr>câu 3</vt:lpstr>
      <vt:lpstr>câu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Tạ Thị Hiệp - Khoa Tài chính - Ngân hàng</cp:lastModifiedBy>
  <dcterms:created xsi:type="dcterms:W3CDTF">2023-12-14T21:36:48Z</dcterms:created>
  <dcterms:modified xsi:type="dcterms:W3CDTF">2023-12-16T23:17:23Z</dcterms:modified>
</cp:coreProperties>
</file>