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10. HK232\06. KHOA KE TOAN KIEM TOAN\MO PHONG KE TOAN DOANH NGHIEP\LAN 1\DE 1_L1\"/>
    </mc:Choice>
  </mc:AlternateContent>
  <xr:revisionPtr revIDLastSave="0" documentId="13_ncr:1_{32E8A27A-3E1E-4961-90BB-D78D6706750D}" xr6:coauthVersionLast="44" xr6:coauthVersionMax="47" xr10:uidLastSave="{00000000-0000-0000-0000-000000000000}"/>
  <bookViews>
    <workbookView xWindow="28680" yWindow="-120" windowWidth="29040" windowHeight="15720" tabRatio="462" xr2:uid="{00000000-000D-0000-FFFF-FFFF00000000}"/>
  </bookViews>
  <sheets>
    <sheet name="Ttin" sheetId="54" r:id="rId1"/>
    <sheet name="Thue TNCN" sheetId="58" r:id="rId2"/>
    <sheet name="Kho" sheetId="57" r:id="rId3"/>
    <sheet name="Luong - BH" sheetId="56" r:id="rId4"/>
    <sheet name="NhatKy" sheetId="2" r:id="rId5"/>
    <sheet name="CDPS" sheetId="24" r:id="rId6"/>
    <sheet name="CDKT" sheetId="48" r:id="rId7"/>
    <sheet name="KQKD" sheetId="52" r:id="rId8"/>
    <sheet name="LCTT" sheetId="49" r:id="rId9"/>
  </sheets>
  <definedNames>
    <definedName name="_xlnm._FilterDatabase" localSheetId="5" hidden="1">CDPS!$A$7:$I$135</definedName>
    <definedName name="_xlnm._FilterDatabase" localSheetId="4" hidden="1">NhatKy!$A$10:$R$106</definedName>
    <definedName name="CDPS">CDPS!$C$8:$I$131</definedName>
    <definedName name="CDPS_taikhoan">CDPS!$B$8:$B$132</definedName>
    <definedName name="NXT">#REF!</definedName>
    <definedName name="nhatky">NhatKy!$A$10:$J$106</definedName>
    <definedName name="nhatky_dongchi">NhatKy!$I$10:$I$106</definedName>
    <definedName name="nhatky_dongthu">NhatKy!$H$10:$H$106</definedName>
    <definedName name="nhatky_sochungtu">NhatKy!$A$10:$A$106</definedName>
    <definedName name="nhatky_sotien">NhatKy!$J$10:$J$106</definedName>
    <definedName name="nhatky_tkco">NhatKy!$G$10:$G$106</definedName>
    <definedName name="nhatky_tkno">NhatKy!$F$10:$F$106</definedName>
    <definedName name="_xlnm.Print_Area" localSheetId="6">CDKT!$B$1:$F$138</definedName>
    <definedName name="_xlnm.Print_Area" localSheetId="5">CDPS!$B$1:$I$139</definedName>
    <definedName name="_xlnm.Print_Area" localSheetId="7">KQKD!$B$1:$F$38</definedName>
    <definedName name="_xlnm.Print_Area" localSheetId="8">LCTT!$B$1:$F$48</definedName>
    <definedName name="_xlnm.Print_Area" localSheetId="4">NhatKy!$M$1:$R$116</definedName>
    <definedName name="_xlnm.Print_Titles" localSheetId="5">CDPS!$6:$7</definedName>
    <definedName name="_xlnm.Print_Titles" localSheetId="4">NhatKy!$8:$10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7" l="1"/>
  <c r="I4" i="57"/>
  <c r="F4" i="57"/>
  <c r="D5" i="57"/>
  <c r="J5" i="57" s="1"/>
  <c r="D4" i="57"/>
  <c r="D34" i="24" s="1"/>
  <c r="G68" i="24"/>
  <c r="F68" i="24"/>
  <c r="E63" i="24"/>
  <c r="D63" i="24"/>
  <c r="G64" i="24"/>
  <c r="G29" i="24"/>
  <c r="F29" i="24"/>
  <c r="G28" i="24"/>
  <c r="F28" i="24"/>
  <c r="E27" i="24"/>
  <c r="D27" i="24"/>
  <c r="C28" i="56"/>
  <c r="D28" i="56" s="1"/>
  <c r="C27" i="56"/>
  <c r="E27" i="56" s="1"/>
  <c r="C29" i="56"/>
  <c r="F9" i="56"/>
  <c r="D9" i="56"/>
  <c r="C9" i="56"/>
  <c r="E8" i="56"/>
  <c r="G8" i="56" s="1"/>
  <c r="E7" i="56"/>
  <c r="G7" i="56" s="1"/>
  <c r="F6" i="57" l="1"/>
  <c r="D6" i="57"/>
  <c r="D35" i="24"/>
  <c r="H4" i="57"/>
  <c r="J4" i="57" s="1"/>
  <c r="J6" i="57" s="1"/>
  <c r="F28" i="56"/>
  <c r="C18" i="56"/>
  <c r="F18" i="56" s="1"/>
  <c r="F27" i="56"/>
  <c r="H68" i="24"/>
  <c r="I68" i="24"/>
  <c r="I29" i="24"/>
  <c r="G27" i="24"/>
  <c r="H28" i="24"/>
  <c r="F27" i="24"/>
  <c r="I28" i="24"/>
  <c r="I27" i="24" s="1"/>
  <c r="H29" i="24"/>
  <c r="E28" i="56"/>
  <c r="G9" i="56"/>
  <c r="E9" i="56"/>
  <c r="D27" i="56"/>
  <c r="G27" i="56" s="1"/>
  <c r="C17" i="56"/>
  <c r="F29" i="56"/>
  <c r="H18" i="56" l="1"/>
  <c r="E18" i="56"/>
  <c r="G28" i="56"/>
  <c r="D18" i="56"/>
  <c r="H6" i="57"/>
  <c r="A29" i="24"/>
  <c r="H27" i="24"/>
  <c r="A27" i="24" s="1"/>
  <c r="A28" i="24"/>
  <c r="E29" i="56"/>
  <c r="C19" i="56"/>
  <c r="H17" i="56"/>
  <c r="D17" i="56"/>
  <c r="F17" i="56"/>
  <c r="E17" i="56"/>
  <c r="D29" i="56"/>
  <c r="G29" i="56"/>
  <c r="G18" i="56" l="1"/>
  <c r="G17" i="56"/>
  <c r="D19" i="56"/>
  <c r="H19" i="56"/>
  <c r="F19" i="56"/>
  <c r="E19" i="56"/>
  <c r="G19" i="56" l="1"/>
  <c r="I29" i="56" s="1"/>
  <c r="G19" i="24"/>
  <c r="F19" i="24"/>
  <c r="G18" i="24"/>
  <c r="F18" i="24"/>
  <c r="I18" i="24" l="1"/>
  <c r="I19" i="24"/>
  <c r="H18" i="24"/>
  <c r="H19" i="24"/>
  <c r="E33" i="24"/>
  <c r="D33" i="24"/>
  <c r="F36" i="24"/>
  <c r="F35" i="24"/>
  <c r="F34" i="24"/>
  <c r="A19" i="24" l="1"/>
  <c r="A18" i="24"/>
  <c r="F33" i="24"/>
  <c r="G36" i="24" l="1"/>
  <c r="G35" i="24" l="1"/>
  <c r="I35" i="24" s="1"/>
  <c r="G34" i="24"/>
  <c r="I34" i="24" s="1"/>
  <c r="I36" i="24"/>
  <c r="H36" i="24"/>
  <c r="E89" i="24"/>
  <c r="D89" i="24"/>
  <c r="G91" i="24"/>
  <c r="F91" i="24"/>
  <c r="G90" i="24"/>
  <c r="F90" i="24" l="1"/>
  <c r="I90" i="24" s="1"/>
  <c r="H35" i="24"/>
  <c r="A35" i="24" s="1"/>
  <c r="H34" i="24"/>
  <c r="G33" i="24"/>
  <c r="A36" i="24"/>
  <c r="I33" i="24"/>
  <c r="I91" i="24"/>
  <c r="G89" i="24"/>
  <c r="H91" i="24"/>
  <c r="E14" i="24"/>
  <c r="D14" i="24"/>
  <c r="G17" i="24"/>
  <c r="F17" i="24"/>
  <c r="D20" i="24"/>
  <c r="E20" i="24"/>
  <c r="F89" i="24" l="1"/>
  <c r="H90" i="24"/>
  <c r="A90" i="24" s="1"/>
  <c r="H33" i="24"/>
  <c r="A34" i="24"/>
  <c r="I89" i="24"/>
  <c r="A91" i="24"/>
  <c r="I17" i="24"/>
  <c r="H17" i="24"/>
  <c r="H89" i="24" l="1"/>
  <c r="A17" i="24"/>
  <c r="B48" i="49"/>
  <c r="B37" i="52" l="1"/>
  <c r="F104" i="24" l="1"/>
  <c r="G71" i="24"/>
  <c r="F71" i="24"/>
  <c r="G104" i="24" l="1"/>
  <c r="H104" i="24" s="1"/>
  <c r="I104" i="24" l="1"/>
  <c r="A104" i="24" s="1"/>
  <c r="D37" i="24" l="1"/>
  <c r="Q6" i="2" l="1"/>
  <c r="B1" i="52"/>
  <c r="G125" i="24"/>
  <c r="F125" i="24"/>
  <c r="F126" i="24"/>
  <c r="G126" i="24" s="1"/>
  <c r="G77" i="24"/>
  <c r="F77" i="24"/>
  <c r="G76" i="24"/>
  <c r="F76" i="24"/>
  <c r="G75" i="24"/>
  <c r="F75" i="24"/>
  <c r="B2" i="49"/>
  <c r="B1" i="49"/>
  <c r="B2" i="52"/>
  <c r="B2" i="48"/>
  <c r="B1" i="48"/>
  <c r="B2" i="24"/>
  <c r="B1" i="24"/>
  <c r="A2" i="2"/>
  <c r="M2" i="2" s="1"/>
  <c r="A1" i="2"/>
  <c r="M1" i="2" s="1"/>
  <c r="A131" i="24"/>
  <c r="E48" i="49"/>
  <c r="E43" i="49"/>
  <c r="E37" i="52"/>
  <c r="E32" i="52"/>
  <c r="B6" i="52"/>
  <c r="E138" i="48"/>
  <c r="C138" i="48"/>
  <c r="B138" i="48"/>
  <c r="E132" i="48"/>
  <c r="B5" i="48"/>
  <c r="H139" i="24"/>
  <c r="E139" i="24"/>
  <c r="C139" i="24"/>
  <c r="H134" i="24"/>
  <c r="G129" i="24"/>
  <c r="F129" i="24"/>
  <c r="F120" i="24"/>
  <c r="F119" i="24"/>
  <c r="F118" i="24"/>
  <c r="F117" i="24"/>
  <c r="F116" i="24"/>
  <c r="F115" i="24"/>
  <c r="F113" i="24"/>
  <c r="G113" i="24" s="1"/>
  <c r="F112" i="24"/>
  <c r="G112" i="24" s="1"/>
  <c r="F111" i="24"/>
  <c r="G111" i="24" s="1"/>
  <c r="F110" i="24"/>
  <c r="G110" i="24" s="1"/>
  <c r="F109" i="24"/>
  <c r="F108" i="24"/>
  <c r="F107" i="24"/>
  <c r="G105" i="24"/>
  <c r="F105" i="24"/>
  <c r="F101" i="24"/>
  <c r="G101" i="24"/>
  <c r="G100" i="24"/>
  <c r="F100" i="24"/>
  <c r="G99" i="24"/>
  <c r="F99" i="24"/>
  <c r="F98" i="24"/>
  <c r="G97" i="24"/>
  <c r="F97" i="24"/>
  <c r="G96" i="24"/>
  <c r="F96" i="24"/>
  <c r="F94" i="24"/>
  <c r="G92" i="24"/>
  <c r="F88" i="24"/>
  <c r="G87" i="24"/>
  <c r="F87" i="24"/>
  <c r="E86" i="24"/>
  <c r="D86" i="24"/>
  <c r="G85" i="24"/>
  <c r="G84" i="24" s="1"/>
  <c r="F85" i="24"/>
  <c r="F84" i="24" s="1"/>
  <c r="E84" i="24"/>
  <c r="G83" i="24"/>
  <c r="F83" i="24"/>
  <c r="G82" i="24"/>
  <c r="F82" i="24"/>
  <c r="E81" i="24"/>
  <c r="D81" i="24"/>
  <c r="G80" i="24"/>
  <c r="F80" i="24"/>
  <c r="G79" i="24"/>
  <c r="F79" i="24"/>
  <c r="E78" i="24"/>
  <c r="D78" i="24"/>
  <c r="G74" i="24"/>
  <c r="F74" i="24"/>
  <c r="G72" i="24"/>
  <c r="F72" i="24"/>
  <c r="I71" i="24"/>
  <c r="G67" i="24"/>
  <c r="F67" i="24"/>
  <c r="G66" i="24"/>
  <c r="F66" i="24"/>
  <c r="G62" i="24"/>
  <c r="F62" i="24"/>
  <c r="F61" i="24"/>
  <c r="G60" i="24"/>
  <c r="F60" i="24"/>
  <c r="G59" i="24"/>
  <c r="F59" i="24"/>
  <c r="E58" i="24"/>
  <c r="D58" i="24"/>
  <c r="G57" i="24"/>
  <c r="F57" i="24"/>
  <c r="G56" i="24"/>
  <c r="F56" i="24"/>
  <c r="E55" i="24"/>
  <c r="D55" i="24"/>
  <c r="G54" i="24"/>
  <c r="F54" i="24"/>
  <c r="G53" i="24"/>
  <c r="F53" i="24"/>
  <c r="G52" i="24"/>
  <c r="F52" i="24"/>
  <c r="E51" i="24"/>
  <c r="D51" i="24"/>
  <c r="G50" i="24"/>
  <c r="F50" i="24"/>
  <c r="G49" i="24"/>
  <c r="F49" i="24"/>
  <c r="E48" i="24"/>
  <c r="D48" i="24"/>
  <c r="G47" i="24"/>
  <c r="F47" i="24"/>
  <c r="C47" i="24"/>
  <c r="G46" i="24"/>
  <c r="F46" i="24"/>
  <c r="C46" i="24"/>
  <c r="G45" i="24"/>
  <c r="F45" i="24"/>
  <c r="F44" i="24"/>
  <c r="C45" i="24"/>
  <c r="G44" i="24"/>
  <c r="C44" i="24"/>
  <c r="E43" i="24"/>
  <c r="D43" i="24"/>
  <c r="G41" i="24"/>
  <c r="F41" i="24"/>
  <c r="G40" i="24"/>
  <c r="F40" i="24"/>
  <c r="G39" i="24"/>
  <c r="F39" i="24"/>
  <c r="F38" i="24"/>
  <c r="G38" i="24"/>
  <c r="E37" i="24"/>
  <c r="G31" i="24"/>
  <c r="F31" i="24"/>
  <c r="G26" i="24"/>
  <c r="F26" i="24"/>
  <c r="G25" i="24"/>
  <c r="F25" i="24"/>
  <c r="E24" i="24"/>
  <c r="D24" i="24"/>
  <c r="G22" i="24"/>
  <c r="F22" i="24"/>
  <c r="F21" i="24"/>
  <c r="F64" i="24" s="1"/>
  <c r="G16" i="24"/>
  <c r="F16" i="24"/>
  <c r="G15" i="24"/>
  <c r="F15" i="24"/>
  <c r="G13" i="24"/>
  <c r="F13" i="24"/>
  <c r="G12" i="24"/>
  <c r="F12" i="24"/>
  <c r="E11" i="24"/>
  <c r="D11" i="24"/>
  <c r="E8" i="24"/>
  <c r="D8" i="24"/>
  <c r="B4" i="24"/>
  <c r="Q116" i="2"/>
  <c r="O116" i="2"/>
  <c r="N116" i="2"/>
  <c r="G116" i="2"/>
  <c r="E116" i="2"/>
  <c r="B116" i="2"/>
  <c r="Q110" i="2"/>
  <c r="G110" i="2"/>
  <c r="G98" i="24"/>
  <c r="F30" i="24"/>
  <c r="G9" i="24"/>
  <c r="F122" i="24"/>
  <c r="G61" i="24"/>
  <c r="G123" i="24"/>
  <c r="F123" i="24" s="1"/>
  <c r="F9" i="24"/>
  <c r="O6" i="2"/>
  <c r="O5" i="2"/>
  <c r="A5" i="2"/>
  <c r="B6" i="49" s="1"/>
  <c r="F93" i="24"/>
  <c r="G30" i="24"/>
  <c r="F121" i="24"/>
  <c r="H64" i="24" l="1"/>
  <c r="I64" i="24"/>
  <c r="G118" i="24"/>
  <c r="G117" i="24"/>
  <c r="G120" i="24"/>
  <c r="H120" i="24" s="1"/>
  <c r="G115" i="24"/>
  <c r="H115" i="24" s="1"/>
  <c r="F20" i="24"/>
  <c r="F14" i="24"/>
  <c r="G14" i="24"/>
  <c r="G93" i="24"/>
  <c r="G109" i="24"/>
  <c r="H109" i="24" s="1"/>
  <c r="H9" i="24"/>
  <c r="H8" i="24" s="1"/>
  <c r="H71" i="24"/>
  <c r="D73" i="24"/>
  <c r="E10" i="24"/>
  <c r="E73" i="24"/>
  <c r="E23" i="24"/>
  <c r="D70" i="24"/>
  <c r="E70" i="24"/>
  <c r="D42" i="24"/>
  <c r="D10" i="24"/>
  <c r="D23" i="24"/>
  <c r="E42" i="24"/>
  <c r="G21" i="24"/>
  <c r="G20" i="24" s="1"/>
  <c r="I113" i="24"/>
  <c r="G78" i="24"/>
  <c r="G73" i="24" s="1"/>
  <c r="G24" i="24"/>
  <c r="G23" i="24" s="1"/>
  <c r="G48" i="24"/>
  <c r="G81" i="24"/>
  <c r="F86" i="24"/>
  <c r="F24" i="24"/>
  <c r="F23" i="24" s="1"/>
  <c r="F48" i="24"/>
  <c r="F124" i="24"/>
  <c r="H113" i="24"/>
  <c r="G70" i="24"/>
  <c r="G69" i="24" s="1"/>
  <c r="I44" i="24"/>
  <c r="H110" i="24"/>
  <c r="I46" i="24"/>
  <c r="H22" i="24"/>
  <c r="H50" i="24"/>
  <c r="H53" i="24"/>
  <c r="H57" i="24"/>
  <c r="H66" i="24"/>
  <c r="H67" i="24"/>
  <c r="I97" i="24"/>
  <c r="H26" i="24"/>
  <c r="H31" i="24"/>
  <c r="H39" i="24"/>
  <c r="I40" i="24"/>
  <c r="H41" i="24"/>
  <c r="H74" i="24"/>
  <c r="H79" i="24"/>
  <c r="I80" i="24"/>
  <c r="I83" i="24"/>
  <c r="I100" i="24"/>
  <c r="H105" i="24"/>
  <c r="I111" i="24"/>
  <c r="I61" i="24"/>
  <c r="I75" i="24"/>
  <c r="I76" i="24"/>
  <c r="I77" i="24"/>
  <c r="I126" i="24"/>
  <c r="I125" i="24"/>
  <c r="I25" i="24"/>
  <c r="H100" i="24"/>
  <c r="F70" i="24"/>
  <c r="F69" i="24" s="1"/>
  <c r="H77" i="24"/>
  <c r="F43" i="24"/>
  <c r="F42" i="24" s="1"/>
  <c r="H45" i="24"/>
  <c r="I47" i="24"/>
  <c r="H47" i="24"/>
  <c r="F51" i="24"/>
  <c r="H52" i="24"/>
  <c r="I54" i="24"/>
  <c r="H82" i="24"/>
  <c r="F81" i="24"/>
  <c r="I96" i="24"/>
  <c r="F95" i="24"/>
  <c r="H99" i="24"/>
  <c r="I99" i="24"/>
  <c r="H112" i="24"/>
  <c r="I112" i="24"/>
  <c r="H129" i="24"/>
  <c r="R5" i="2"/>
  <c r="R106" i="2" s="1"/>
  <c r="F78" i="24"/>
  <c r="F73" i="24" s="1"/>
  <c r="H76" i="24"/>
  <c r="H111" i="24"/>
  <c r="G124" i="24"/>
  <c r="I82" i="24"/>
  <c r="I79" i="24"/>
  <c r="I26" i="24"/>
  <c r="H97" i="24"/>
  <c r="H126" i="24"/>
  <c r="H125" i="24"/>
  <c r="H75" i="24"/>
  <c r="I129" i="24"/>
  <c r="H54" i="24"/>
  <c r="H15" i="24"/>
  <c r="G11" i="24"/>
  <c r="G10" i="24" s="1"/>
  <c r="I31" i="24"/>
  <c r="H40" i="24"/>
  <c r="I41" i="24"/>
  <c r="G43" i="24"/>
  <c r="G42" i="24" s="1"/>
  <c r="I45" i="24"/>
  <c r="H49" i="24"/>
  <c r="H60" i="24"/>
  <c r="I66" i="24"/>
  <c r="I67" i="24"/>
  <c r="I72" i="24"/>
  <c r="F8" i="24"/>
  <c r="G8" i="24"/>
  <c r="I9" i="24"/>
  <c r="I8" i="24" s="1"/>
  <c r="F37" i="24"/>
  <c r="H38" i="24"/>
  <c r="G37" i="24"/>
  <c r="I39" i="24"/>
  <c r="H44" i="24"/>
  <c r="G51" i="24"/>
  <c r="I52" i="24"/>
  <c r="G55" i="24"/>
  <c r="H56" i="24"/>
  <c r="G95" i="24"/>
  <c r="I22" i="24"/>
  <c r="F11" i="24"/>
  <c r="F10" i="24" s="1"/>
  <c r="H25" i="24"/>
  <c r="H16" i="24"/>
  <c r="I15" i="24"/>
  <c r="I30" i="24"/>
  <c r="H12" i="24"/>
  <c r="H30" i="24"/>
  <c r="I110" i="24"/>
  <c r="H96" i="24"/>
  <c r="I56" i="24"/>
  <c r="I57" i="24"/>
  <c r="I59" i="24"/>
  <c r="I60" i="24"/>
  <c r="H72" i="24"/>
  <c r="I74" i="24"/>
  <c r="I105" i="24"/>
  <c r="I62" i="24"/>
  <c r="H80" i="24"/>
  <c r="H83" i="24"/>
  <c r="H61" i="24"/>
  <c r="I12" i="24"/>
  <c r="I16" i="24"/>
  <c r="I38" i="24"/>
  <c r="H46" i="24"/>
  <c r="I49" i="24"/>
  <c r="I50" i="24"/>
  <c r="I53" i="24"/>
  <c r="I123" i="24"/>
  <c r="H123" i="24"/>
  <c r="F114" i="24"/>
  <c r="H85" i="24"/>
  <c r="I85" i="24"/>
  <c r="I84" i="24" s="1"/>
  <c r="H87" i="24"/>
  <c r="I87" i="24"/>
  <c r="I98" i="24"/>
  <c r="H98" i="24"/>
  <c r="H101" i="24"/>
  <c r="I101" i="24"/>
  <c r="F106" i="24"/>
  <c r="F55" i="24"/>
  <c r="G58" i="24"/>
  <c r="F58" i="24"/>
  <c r="H62" i="24"/>
  <c r="H59" i="24"/>
  <c r="I13" i="24"/>
  <c r="H13" i="24"/>
  <c r="R14" i="2" l="1"/>
  <c r="P27" i="2"/>
  <c r="M27" i="2" s="1"/>
  <c r="Q15" i="2"/>
  <c r="Q23" i="2"/>
  <c r="P28" i="2"/>
  <c r="N28" i="2" s="1"/>
  <c r="P35" i="2"/>
  <c r="O35" i="2" s="1"/>
  <c r="P23" i="2"/>
  <c r="O23" i="2" s="1"/>
  <c r="M28" i="2"/>
  <c r="N27" i="2"/>
  <c r="O27" i="2"/>
  <c r="P33" i="2"/>
  <c r="R15" i="2"/>
  <c r="R23" i="2"/>
  <c r="Q28" i="2"/>
  <c r="R33" i="2"/>
  <c r="R20" i="2"/>
  <c r="Q25" i="2"/>
  <c r="P30" i="2"/>
  <c r="P16" i="2"/>
  <c r="Q16" i="2"/>
  <c r="R30" i="2"/>
  <c r="Q26" i="2"/>
  <c r="R16" i="2"/>
  <c r="P29" i="2"/>
  <c r="P34" i="2"/>
  <c r="Q21" i="2"/>
  <c r="P26" i="2"/>
  <c r="Q22" i="2"/>
  <c r="R32" i="2"/>
  <c r="P20" i="2"/>
  <c r="R26" i="2"/>
  <c r="Q31" i="2"/>
  <c r="P15" i="2"/>
  <c r="R29" i="2"/>
  <c r="R13" i="2"/>
  <c r="Q20" i="2"/>
  <c r="P25" i="2"/>
  <c r="R31" i="2"/>
  <c r="Q35" i="2"/>
  <c r="P22" i="2"/>
  <c r="R28" i="2"/>
  <c r="Q34" i="2"/>
  <c r="Q30" i="2"/>
  <c r="P24" i="2"/>
  <c r="P13" i="2"/>
  <c r="R34" i="2"/>
  <c r="Q24" i="2"/>
  <c r="Q32" i="2"/>
  <c r="R25" i="2"/>
  <c r="Q13" i="2"/>
  <c r="R22" i="2"/>
  <c r="Q27" i="2"/>
  <c r="Q33" i="2"/>
  <c r="R21" i="2"/>
  <c r="P31" i="2"/>
  <c r="P14" i="2"/>
  <c r="P21" i="2"/>
  <c r="R27" i="2"/>
  <c r="P32" i="2"/>
  <c r="Q14" i="2"/>
  <c r="R24" i="2"/>
  <c r="Q29" i="2"/>
  <c r="R35" i="2"/>
  <c r="Q71" i="2"/>
  <c r="P70" i="2"/>
  <c r="Q75" i="2"/>
  <c r="P66" i="2"/>
  <c r="P74" i="2"/>
  <c r="R68" i="2"/>
  <c r="Q67" i="2"/>
  <c r="R72" i="2"/>
  <c r="P67" i="2"/>
  <c r="P71" i="2"/>
  <c r="P75" i="2"/>
  <c r="Q68" i="2"/>
  <c r="Q72" i="2"/>
  <c r="R65" i="2"/>
  <c r="R69" i="2"/>
  <c r="R73" i="2"/>
  <c r="P68" i="2"/>
  <c r="P72" i="2"/>
  <c r="Q65" i="2"/>
  <c r="Q69" i="2"/>
  <c r="Q73" i="2"/>
  <c r="R66" i="2"/>
  <c r="R70" i="2"/>
  <c r="R74" i="2"/>
  <c r="P65" i="2"/>
  <c r="P69" i="2"/>
  <c r="P73" i="2"/>
  <c r="Q66" i="2"/>
  <c r="Q70" i="2"/>
  <c r="Q74" i="2"/>
  <c r="R67" i="2"/>
  <c r="R71" i="2"/>
  <c r="R75" i="2"/>
  <c r="P45" i="2"/>
  <c r="P41" i="2"/>
  <c r="R78" i="2"/>
  <c r="Q101" i="2"/>
  <c r="R38" i="2"/>
  <c r="Q49" i="2"/>
  <c r="P79" i="2"/>
  <c r="P95" i="2"/>
  <c r="R55" i="2"/>
  <c r="P96" i="2"/>
  <c r="R45" i="2"/>
  <c r="R61" i="2"/>
  <c r="P86" i="2"/>
  <c r="R96" i="2"/>
  <c r="P42" i="2"/>
  <c r="P58" i="2"/>
  <c r="Q63" i="2"/>
  <c r="P77" i="2"/>
  <c r="R87" i="2"/>
  <c r="P37" i="2"/>
  <c r="Q50" i="2"/>
  <c r="Q46" i="2"/>
  <c r="Q58" i="2"/>
  <c r="Q81" i="2"/>
  <c r="R90" i="2"/>
  <c r="R102" i="2"/>
  <c r="R18" i="2"/>
  <c r="P40" i="2"/>
  <c r="Q45" i="2"/>
  <c r="R50" i="2"/>
  <c r="P56" i="2"/>
  <c r="Q61" i="2"/>
  <c r="Q80" i="2"/>
  <c r="R85" i="2"/>
  <c r="P91" i="2"/>
  <c r="Q96" i="2"/>
  <c r="R105" i="2"/>
  <c r="R59" i="2"/>
  <c r="Q85" i="2"/>
  <c r="Q105" i="2"/>
  <c r="Q36" i="2"/>
  <c r="R41" i="2"/>
  <c r="P47" i="2"/>
  <c r="Q52" i="2"/>
  <c r="R57" i="2"/>
  <c r="P63" i="2"/>
  <c r="R76" i="2"/>
  <c r="P82" i="2"/>
  <c r="Q87" i="2"/>
  <c r="R92" i="2"/>
  <c r="P102" i="2"/>
  <c r="P38" i="2"/>
  <c r="Q43" i="2"/>
  <c r="R48" i="2"/>
  <c r="P54" i="2"/>
  <c r="Q59" i="2"/>
  <c r="R64" i="2"/>
  <c r="Q78" i="2"/>
  <c r="R83" i="2"/>
  <c r="P89" i="2"/>
  <c r="Q94" i="2"/>
  <c r="R103" i="2"/>
  <c r="R47" i="2"/>
  <c r="Q17" i="2"/>
  <c r="R54" i="2"/>
  <c r="Q84" i="2"/>
  <c r="R82" i="2"/>
  <c r="Q56" i="2"/>
  <c r="Q102" i="2"/>
  <c r="Q42" i="2"/>
  <c r="R43" i="2"/>
  <c r="Q38" i="2"/>
  <c r="R51" i="2"/>
  <c r="P61" i="2"/>
  <c r="P84" i="2"/>
  <c r="Q93" i="2"/>
  <c r="P104" i="2"/>
  <c r="P36" i="2"/>
  <c r="Q41" i="2"/>
  <c r="R46" i="2"/>
  <c r="P52" i="2"/>
  <c r="Q57" i="2"/>
  <c r="R62" i="2"/>
  <c r="Q76" i="2"/>
  <c r="R81" i="2"/>
  <c r="P87" i="2"/>
  <c r="Q92" i="2"/>
  <c r="R101" i="2"/>
  <c r="P106" i="2"/>
  <c r="Q62" i="2"/>
  <c r="Q77" i="2"/>
  <c r="P88" i="2"/>
  <c r="R37" i="2"/>
  <c r="P43" i="2"/>
  <c r="Q48" i="2"/>
  <c r="R53" i="2"/>
  <c r="P59" i="2"/>
  <c r="Q64" i="2"/>
  <c r="P78" i="2"/>
  <c r="Q83" i="2"/>
  <c r="R88" i="2"/>
  <c r="P94" i="2"/>
  <c r="Q103" i="2"/>
  <c r="P18" i="2"/>
  <c r="Q39" i="2"/>
  <c r="R44" i="2"/>
  <c r="P50" i="2"/>
  <c r="Q55" i="2"/>
  <c r="R60" i="2"/>
  <c r="R79" i="2"/>
  <c r="P85" i="2"/>
  <c r="Q90" i="2"/>
  <c r="R95" i="2"/>
  <c r="P105" i="2"/>
  <c r="R19" i="2"/>
  <c r="P57" i="2"/>
  <c r="Q89" i="2"/>
  <c r="P44" i="2"/>
  <c r="P60" i="2"/>
  <c r="R89" i="2"/>
  <c r="Q104" i="2"/>
  <c r="P19" i="2"/>
  <c r="Q40" i="2"/>
  <c r="P51" i="2"/>
  <c r="R80" i="2"/>
  <c r="Q91" i="2"/>
  <c r="Q106" i="2"/>
  <c r="R36" i="2"/>
  <c r="Q47" i="2"/>
  <c r="R52" i="2"/>
  <c r="Q82" i="2"/>
  <c r="P93" i="2"/>
  <c r="P17" i="2"/>
  <c r="Q18" i="2"/>
  <c r="R39" i="2"/>
  <c r="P49" i="2"/>
  <c r="Q54" i="2"/>
  <c r="R63" i="2"/>
  <c r="P76" i="2"/>
  <c r="R86" i="2"/>
  <c r="R94" i="2"/>
  <c r="Q37" i="2"/>
  <c r="R42" i="2"/>
  <c r="P48" i="2"/>
  <c r="Q53" i="2"/>
  <c r="R58" i="2"/>
  <c r="P64" i="2"/>
  <c r="R77" i="2"/>
  <c r="P83" i="2"/>
  <c r="Q88" i="2"/>
  <c r="R93" i="2"/>
  <c r="P103" i="2"/>
  <c r="P53" i="2"/>
  <c r="P80" i="2"/>
  <c r="P92" i="2"/>
  <c r="R17" i="2"/>
  <c r="P39" i="2"/>
  <c r="Q44" i="2"/>
  <c r="R49" i="2"/>
  <c r="P55" i="2"/>
  <c r="Q60" i="2"/>
  <c r="Q79" i="2"/>
  <c r="R84" i="2"/>
  <c r="P90" i="2"/>
  <c r="Q95" i="2"/>
  <c r="R104" i="2"/>
  <c r="Q19" i="2"/>
  <c r="R40" i="2"/>
  <c r="P46" i="2"/>
  <c r="Q51" i="2"/>
  <c r="R56" i="2"/>
  <c r="P62" i="2"/>
  <c r="P81" i="2"/>
  <c r="Q86" i="2"/>
  <c r="R91" i="2"/>
  <c r="P101" i="2"/>
  <c r="I118" i="24"/>
  <c r="H118" i="24"/>
  <c r="K98" i="2"/>
  <c r="I120" i="24"/>
  <c r="A120" i="24" s="1"/>
  <c r="I117" i="24"/>
  <c r="H117" i="24"/>
  <c r="P97" i="2"/>
  <c r="R100" i="2"/>
  <c r="R99" i="2"/>
  <c r="Q100" i="2"/>
  <c r="Q97" i="2"/>
  <c r="Q99" i="2"/>
  <c r="P98" i="2"/>
  <c r="R97" i="2"/>
  <c r="Q98" i="2"/>
  <c r="P100" i="2"/>
  <c r="P99" i="2"/>
  <c r="H93" i="24"/>
  <c r="I14" i="24"/>
  <c r="H14" i="24"/>
  <c r="I93" i="24"/>
  <c r="G121" i="24"/>
  <c r="H121" i="24" s="1"/>
  <c r="F92" i="24"/>
  <c r="I92" i="24" s="1"/>
  <c r="G119" i="24"/>
  <c r="H119" i="24" s="1"/>
  <c r="G116" i="24"/>
  <c r="H116" i="24" s="1"/>
  <c r="I109" i="24"/>
  <c r="A109" i="24" s="1"/>
  <c r="G108" i="24"/>
  <c r="H108" i="24" s="1"/>
  <c r="G122" i="24"/>
  <c r="H122" i="24" s="1"/>
  <c r="P12" i="2"/>
  <c r="R12" i="2"/>
  <c r="Q12" i="2"/>
  <c r="A8" i="24"/>
  <c r="A9" i="24"/>
  <c r="G107" i="24"/>
  <c r="E69" i="24"/>
  <c r="R11" i="2" s="1"/>
  <c r="D69" i="24"/>
  <c r="I21" i="24"/>
  <c r="I20" i="24" s="1"/>
  <c r="H21" i="24"/>
  <c r="I115" i="24"/>
  <c r="A115" i="24" s="1"/>
  <c r="A77" i="24"/>
  <c r="A76" i="24"/>
  <c r="A113" i="24"/>
  <c r="A129" i="24"/>
  <c r="A22" i="24"/>
  <c r="A44" i="24"/>
  <c r="A110" i="24"/>
  <c r="H124" i="24"/>
  <c r="A126" i="24"/>
  <c r="I124" i="24"/>
  <c r="A53" i="24"/>
  <c r="A39" i="24"/>
  <c r="A75" i="24"/>
  <c r="A97" i="24"/>
  <c r="A100" i="24"/>
  <c r="I81" i="24"/>
  <c r="A61" i="24"/>
  <c r="A74" i="24"/>
  <c r="A50" i="24"/>
  <c r="A67" i="24"/>
  <c r="H48" i="24"/>
  <c r="A40" i="24"/>
  <c r="A26" i="24"/>
  <c r="A79" i="24"/>
  <c r="A54" i="24"/>
  <c r="A105" i="24"/>
  <c r="A66" i="24"/>
  <c r="A41" i="24"/>
  <c r="A111" i="24"/>
  <c r="A112" i="24"/>
  <c r="A99" i="24"/>
  <c r="H51" i="24"/>
  <c r="H78" i="24"/>
  <c r="H73" i="24" s="1"/>
  <c r="A57" i="24"/>
  <c r="I78" i="24"/>
  <c r="I73" i="24" s="1"/>
  <c r="H55" i="24"/>
  <c r="A31" i="24"/>
  <c r="A12" i="24"/>
  <c r="A47" i="24"/>
  <c r="A82" i="24"/>
  <c r="A125" i="24"/>
  <c r="A25" i="24"/>
  <c r="H37" i="24"/>
  <c r="A33" i="24"/>
  <c r="H24" i="24"/>
  <c r="H23" i="24" s="1"/>
  <c r="A60" i="24"/>
  <c r="A45" i="24"/>
  <c r="I43" i="24"/>
  <c r="I24" i="24"/>
  <c r="I23" i="24" s="1"/>
  <c r="A96" i="24"/>
  <c r="A15" i="24"/>
  <c r="A52" i="24"/>
  <c r="I37" i="24"/>
  <c r="A56" i="24"/>
  <c r="A72" i="24"/>
  <c r="A30" i="24"/>
  <c r="A62" i="24"/>
  <c r="I11" i="24"/>
  <c r="I10" i="24" s="1"/>
  <c r="A123" i="24"/>
  <c r="I70" i="24"/>
  <c r="I69" i="24" s="1"/>
  <c r="I55" i="24"/>
  <c r="A83" i="24"/>
  <c r="H81" i="24"/>
  <c r="A80" i="24"/>
  <c r="I58" i="24"/>
  <c r="A46" i="24"/>
  <c r="H43" i="24"/>
  <c r="A16" i="24"/>
  <c r="A38" i="24"/>
  <c r="I51" i="24"/>
  <c r="A49" i="24"/>
  <c r="I48" i="24"/>
  <c r="H11" i="24"/>
  <c r="A13" i="24"/>
  <c r="H58" i="24"/>
  <c r="A59" i="24"/>
  <c r="A101" i="24"/>
  <c r="I95" i="24"/>
  <c r="A87" i="24"/>
  <c r="H84" i="24"/>
  <c r="A84" i="24" s="1"/>
  <c r="A85" i="24"/>
  <c r="A98" i="24"/>
  <c r="H95" i="24"/>
  <c r="M23" i="2" l="1"/>
  <c r="N35" i="2"/>
  <c r="N23" i="2"/>
  <c r="M35" i="2"/>
  <c r="O28" i="2"/>
  <c r="M80" i="2"/>
  <c r="N80" i="2"/>
  <c r="M105" i="2"/>
  <c r="N105" i="2"/>
  <c r="M36" i="2"/>
  <c r="N36" i="2"/>
  <c r="N26" i="2"/>
  <c r="M26" i="2"/>
  <c r="M33" i="2"/>
  <c r="N33" i="2"/>
  <c r="M99" i="2"/>
  <c r="N99" i="2"/>
  <c r="M81" i="2"/>
  <c r="N81" i="2"/>
  <c r="M53" i="2"/>
  <c r="N53" i="2"/>
  <c r="M17" i="2"/>
  <c r="N17" i="2"/>
  <c r="M59" i="2"/>
  <c r="N59" i="2"/>
  <c r="N106" i="2"/>
  <c r="M106" i="2"/>
  <c r="M104" i="2"/>
  <c r="N104" i="2"/>
  <c r="N86" i="2"/>
  <c r="M86" i="2"/>
  <c r="M45" i="2"/>
  <c r="N45" i="2"/>
  <c r="M69" i="2"/>
  <c r="N69" i="2"/>
  <c r="M72" i="2"/>
  <c r="N72" i="2"/>
  <c r="M71" i="2"/>
  <c r="N71" i="2"/>
  <c r="N70" i="2"/>
  <c r="M70" i="2"/>
  <c r="M21" i="2"/>
  <c r="N21" i="2"/>
  <c r="N13" i="2"/>
  <c r="M13" i="2"/>
  <c r="M20" i="2"/>
  <c r="N20" i="2"/>
  <c r="N30" i="2"/>
  <c r="M30" i="2"/>
  <c r="M12" i="2"/>
  <c r="N12" i="2"/>
  <c r="M19" i="2"/>
  <c r="N19" i="2"/>
  <c r="N94" i="2"/>
  <c r="M94" i="2"/>
  <c r="M87" i="2"/>
  <c r="N87" i="2"/>
  <c r="M61" i="2"/>
  <c r="N61" i="2"/>
  <c r="M77" i="2"/>
  <c r="N77" i="2"/>
  <c r="M96" i="2"/>
  <c r="N96" i="2"/>
  <c r="M73" i="2"/>
  <c r="N73" i="2"/>
  <c r="M16" i="2"/>
  <c r="N16" i="2"/>
  <c r="N98" i="2"/>
  <c r="M98" i="2"/>
  <c r="N46" i="2"/>
  <c r="M46" i="2"/>
  <c r="M39" i="2"/>
  <c r="N39" i="2"/>
  <c r="M83" i="2"/>
  <c r="N83" i="2"/>
  <c r="M52" i="2"/>
  <c r="N52" i="2"/>
  <c r="M100" i="2"/>
  <c r="N100" i="2"/>
  <c r="M101" i="2"/>
  <c r="N101" i="2"/>
  <c r="N62" i="2"/>
  <c r="M62" i="2"/>
  <c r="N90" i="2"/>
  <c r="M90" i="2"/>
  <c r="M55" i="2"/>
  <c r="N55" i="2"/>
  <c r="M103" i="2"/>
  <c r="N103" i="2"/>
  <c r="M48" i="2"/>
  <c r="N48" i="2"/>
  <c r="M49" i="2"/>
  <c r="N49" i="2"/>
  <c r="M93" i="2"/>
  <c r="N93" i="2"/>
  <c r="M51" i="2"/>
  <c r="N51" i="2"/>
  <c r="M57" i="2"/>
  <c r="N57" i="2"/>
  <c r="N18" i="2"/>
  <c r="M18" i="2"/>
  <c r="M88" i="2"/>
  <c r="N88" i="2"/>
  <c r="M89" i="2"/>
  <c r="N89" i="2"/>
  <c r="N38" i="2"/>
  <c r="M38" i="2"/>
  <c r="N82" i="2"/>
  <c r="M82" i="2"/>
  <c r="M40" i="2"/>
  <c r="N40" i="2"/>
  <c r="M37" i="2"/>
  <c r="N37" i="2"/>
  <c r="N58" i="2"/>
  <c r="M58" i="2"/>
  <c r="M95" i="2"/>
  <c r="N95" i="2"/>
  <c r="M65" i="2"/>
  <c r="N65" i="2"/>
  <c r="M68" i="2"/>
  <c r="N68" i="2"/>
  <c r="M67" i="2"/>
  <c r="N67" i="2"/>
  <c r="O74" i="2"/>
  <c r="N74" i="2"/>
  <c r="M74" i="2"/>
  <c r="M14" i="2"/>
  <c r="N14" i="2"/>
  <c r="M24" i="2"/>
  <c r="N24" i="2"/>
  <c r="M25" i="2"/>
  <c r="N25" i="2"/>
  <c r="M15" i="2"/>
  <c r="N15" i="2"/>
  <c r="N34" i="2"/>
  <c r="M34" i="2"/>
  <c r="M44" i="2"/>
  <c r="N44" i="2"/>
  <c r="M43" i="2"/>
  <c r="N43" i="2"/>
  <c r="M63" i="2"/>
  <c r="N63" i="2"/>
  <c r="M41" i="2"/>
  <c r="N41" i="2"/>
  <c r="M75" i="2"/>
  <c r="N75" i="2"/>
  <c r="O97" i="2"/>
  <c r="M97" i="2"/>
  <c r="N97" i="2"/>
  <c r="M92" i="2"/>
  <c r="N92" i="2"/>
  <c r="M64" i="2"/>
  <c r="N64" i="2"/>
  <c r="M76" i="2"/>
  <c r="N76" i="2"/>
  <c r="M60" i="2"/>
  <c r="N60" i="2"/>
  <c r="M85" i="2"/>
  <c r="N85" i="2"/>
  <c r="N50" i="2"/>
  <c r="M50" i="2"/>
  <c r="N78" i="2"/>
  <c r="M78" i="2"/>
  <c r="M84" i="2"/>
  <c r="N84" i="2"/>
  <c r="N54" i="2"/>
  <c r="M54" i="2"/>
  <c r="N102" i="2"/>
  <c r="M102" i="2"/>
  <c r="M47" i="2"/>
  <c r="N47" i="2"/>
  <c r="M91" i="2"/>
  <c r="N91" i="2"/>
  <c r="M56" i="2"/>
  <c r="N56" i="2"/>
  <c r="N42" i="2"/>
  <c r="M42" i="2"/>
  <c r="M79" i="2"/>
  <c r="N79" i="2"/>
  <c r="N66" i="2"/>
  <c r="M66" i="2"/>
  <c r="M32" i="2"/>
  <c r="N32" i="2"/>
  <c r="M31" i="2"/>
  <c r="N31" i="2"/>
  <c r="N22" i="2"/>
  <c r="M22" i="2"/>
  <c r="M29" i="2"/>
  <c r="N29" i="2"/>
  <c r="O15" i="2"/>
  <c r="O29" i="2"/>
  <c r="O14" i="2"/>
  <c r="O24" i="2"/>
  <c r="O26" i="2"/>
  <c r="O16" i="2"/>
  <c r="O33" i="2"/>
  <c r="O25" i="2"/>
  <c r="O34" i="2"/>
  <c r="O21" i="2"/>
  <c r="O13" i="2"/>
  <c r="O22" i="2"/>
  <c r="O32" i="2"/>
  <c r="O31" i="2"/>
  <c r="O20" i="2"/>
  <c r="O30" i="2"/>
  <c r="O70" i="2"/>
  <c r="O66" i="2"/>
  <c r="O73" i="2"/>
  <c r="O69" i="2"/>
  <c r="O68" i="2"/>
  <c r="O72" i="2"/>
  <c r="O67" i="2"/>
  <c r="O65" i="2"/>
  <c r="O75" i="2"/>
  <c r="O71" i="2"/>
  <c r="O92" i="2"/>
  <c r="O85" i="2"/>
  <c r="O59" i="2"/>
  <c r="O104" i="2"/>
  <c r="O37" i="2"/>
  <c r="O101" i="2"/>
  <c r="O80" i="2"/>
  <c r="O48" i="2"/>
  <c r="O19" i="2"/>
  <c r="O105" i="2"/>
  <c r="O78" i="2"/>
  <c r="O88" i="2"/>
  <c r="O52" i="2"/>
  <c r="O38" i="2"/>
  <c r="O82" i="2"/>
  <c r="O56" i="2"/>
  <c r="O42" i="2"/>
  <c r="O86" i="2"/>
  <c r="O95" i="2"/>
  <c r="O41" i="2"/>
  <c r="O103" i="2"/>
  <c r="O18" i="2"/>
  <c r="O61" i="2"/>
  <c r="O89" i="2"/>
  <c r="O46" i="2"/>
  <c r="O90" i="2"/>
  <c r="O64" i="2"/>
  <c r="O76" i="2"/>
  <c r="O49" i="2"/>
  <c r="O17" i="2"/>
  <c r="O51" i="2"/>
  <c r="O60" i="2"/>
  <c r="O57" i="2"/>
  <c r="O50" i="2"/>
  <c r="O94" i="2"/>
  <c r="O84" i="2"/>
  <c r="O54" i="2"/>
  <c r="O102" i="2"/>
  <c r="O77" i="2"/>
  <c r="O79" i="2"/>
  <c r="O45" i="2"/>
  <c r="O81" i="2"/>
  <c r="O55" i="2"/>
  <c r="O106" i="2"/>
  <c r="O36" i="2"/>
  <c r="O63" i="2"/>
  <c r="O40" i="2"/>
  <c r="O58" i="2"/>
  <c r="O62" i="2"/>
  <c r="O39" i="2"/>
  <c r="O53" i="2"/>
  <c r="O83" i="2"/>
  <c r="O93" i="2"/>
  <c r="O44" i="2"/>
  <c r="O43" i="2"/>
  <c r="O87" i="2"/>
  <c r="O47" i="2"/>
  <c r="O91" i="2"/>
  <c r="O96" i="2"/>
  <c r="A118" i="24"/>
  <c r="I42" i="24"/>
  <c r="K99" i="2"/>
  <c r="A117" i="24"/>
  <c r="Q11" i="2"/>
  <c r="O100" i="2"/>
  <c r="O99" i="2"/>
  <c r="O98" i="2"/>
  <c r="A93" i="24"/>
  <c r="H20" i="24"/>
  <c r="A20" i="24" s="1"/>
  <c r="F130" i="48"/>
  <c r="I121" i="24"/>
  <c r="A121" i="24" s="1"/>
  <c r="H92" i="24"/>
  <c r="A92" i="24" s="1"/>
  <c r="I116" i="24"/>
  <c r="A116" i="24" s="1"/>
  <c r="I108" i="24"/>
  <c r="A108" i="24" s="1"/>
  <c r="G114" i="24"/>
  <c r="I122" i="24"/>
  <c r="A122" i="24" s="1"/>
  <c r="I119" i="24"/>
  <c r="A119" i="24" s="1"/>
  <c r="O12" i="2"/>
  <c r="H114" i="24"/>
  <c r="H107" i="24"/>
  <c r="I107" i="24"/>
  <c r="G106" i="24"/>
  <c r="E132" i="24"/>
  <c r="D132" i="24"/>
  <c r="A21" i="24"/>
  <c r="A124" i="24"/>
  <c r="A37" i="24"/>
  <c r="A51" i="24"/>
  <c r="A81" i="24"/>
  <c r="A48" i="24"/>
  <c r="A55" i="24"/>
  <c r="A73" i="24"/>
  <c r="A78" i="24"/>
  <c r="A68" i="24"/>
  <c r="A24" i="24"/>
  <c r="A23" i="24"/>
  <c r="A14" i="24"/>
  <c r="H70" i="24"/>
  <c r="A71" i="24"/>
  <c r="A95" i="24"/>
  <c r="H42" i="24"/>
  <c r="A43" i="24"/>
  <c r="A58" i="24"/>
  <c r="H10" i="24"/>
  <c r="A11" i="24"/>
  <c r="A42" i="24" l="1"/>
  <c r="H41" i="49"/>
  <c r="I106" i="24"/>
  <c r="I114" i="24"/>
  <c r="A114" i="24" s="1"/>
  <c r="A107" i="24"/>
  <c r="H106" i="24"/>
  <c r="E133" i="24"/>
  <c r="H69" i="24"/>
  <c r="A69" i="24" s="1"/>
  <c r="A70" i="24"/>
  <c r="A10" i="24"/>
  <c r="A106" i="24" l="1"/>
  <c r="A64" i="24"/>
  <c r="A89" i="24" l="1"/>
  <c r="G94" i="24" l="1"/>
  <c r="F32" i="24"/>
  <c r="G32" i="24" l="1"/>
  <c r="F103" i="24"/>
  <c r="H94" i="24"/>
  <c r="I94" i="24"/>
  <c r="A94" i="24" l="1"/>
  <c r="I32" i="24"/>
  <c r="F102" i="24"/>
  <c r="H32" i="24"/>
  <c r="Q107" i="2" l="1"/>
  <c r="G103" i="24"/>
  <c r="A32" i="24"/>
  <c r="I103" i="24" l="1"/>
  <c r="I102" i="24" s="1"/>
  <c r="G102" i="24"/>
  <c r="H103" i="24"/>
  <c r="H102" i="24" s="1"/>
  <c r="A103" i="24" l="1"/>
  <c r="A102" i="24"/>
  <c r="R98" i="2" l="1"/>
  <c r="R107" i="2" s="1"/>
  <c r="G65" i="24"/>
  <c r="F128" i="24"/>
  <c r="R108" i="2" l="1"/>
  <c r="Q108" i="2"/>
  <c r="G63" i="24"/>
  <c r="F127" i="24"/>
  <c r="G88" i="24" l="1"/>
  <c r="I88" i="24" s="1"/>
  <c r="I86" i="24" s="1"/>
  <c r="F130" i="24"/>
  <c r="G128" i="24"/>
  <c r="F65" i="24"/>
  <c r="G130" i="24"/>
  <c r="J107" i="2"/>
  <c r="G86" i="24" l="1"/>
  <c r="H88" i="24"/>
  <c r="H86" i="24" s="1"/>
  <c r="G127" i="24"/>
  <c r="I128" i="24"/>
  <c r="I127" i="24" s="1"/>
  <c r="H128" i="24"/>
  <c r="H127" i="24" s="1"/>
  <c r="H130" i="24"/>
  <c r="I130" i="24"/>
  <c r="F63" i="24"/>
  <c r="I65" i="24"/>
  <c r="I63" i="24" s="1"/>
  <c r="H65" i="24"/>
  <c r="H63" i="24" s="1"/>
  <c r="A86" i="24" l="1"/>
  <c r="G132" i="24"/>
  <c r="A88" i="24"/>
  <c r="H132" i="24"/>
  <c r="A130" i="24"/>
  <c r="A127" i="24"/>
  <c r="A128" i="24"/>
  <c r="E130" i="48"/>
  <c r="I132" i="24"/>
  <c r="F132" i="24"/>
  <c r="A63" i="24"/>
  <c r="A65" i="24"/>
  <c r="K30" i="2" l="1"/>
  <c r="K22" i="2"/>
  <c r="K14" i="2"/>
  <c r="K16" i="2"/>
  <c r="K32" i="2"/>
  <c r="K13" i="2"/>
  <c r="K25" i="2"/>
  <c r="K21" i="2"/>
  <c r="K28" i="2"/>
  <c r="K20" i="2"/>
  <c r="K29" i="2"/>
  <c r="K31" i="2"/>
  <c r="K24" i="2"/>
  <c r="K27" i="2"/>
  <c r="K34" i="2"/>
  <c r="K26" i="2"/>
  <c r="K15" i="2"/>
  <c r="K33" i="2"/>
  <c r="K35" i="2"/>
  <c r="K23" i="2"/>
  <c r="L34" i="2"/>
  <c r="L26" i="2"/>
  <c r="L15" i="2"/>
  <c r="L35" i="2"/>
  <c r="L27" i="2"/>
  <c r="L16" i="2"/>
  <c r="L28" i="2"/>
  <c r="L32" i="2"/>
  <c r="L24" i="2"/>
  <c r="L13" i="2"/>
  <c r="L33" i="2"/>
  <c r="L25" i="2"/>
  <c r="L14" i="2"/>
  <c r="L20" i="2"/>
  <c r="L29" i="2"/>
  <c r="L21" i="2"/>
  <c r="L30" i="2"/>
  <c r="L22" i="2"/>
  <c r="L31" i="2"/>
  <c r="L23" i="2"/>
  <c r="K70" i="2"/>
  <c r="K69" i="2"/>
  <c r="K66" i="2"/>
  <c r="K73" i="2"/>
  <c r="K65" i="2"/>
  <c r="K72" i="2"/>
  <c r="K71" i="2"/>
  <c r="K68" i="2"/>
  <c r="K75" i="2"/>
  <c r="K67" i="2"/>
  <c r="K74" i="2"/>
  <c r="L73" i="2"/>
  <c r="L65" i="2"/>
  <c r="L72" i="2"/>
  <c r="L69" i="2"/>
  <c r="L68" i="2"/>
  <c r="L75" i="2"/>
  <c r="L67" i="2"/>
  <c r="L74" i="2"/>
  <c r="L66" i="2"/>
  <c r="L71" i="2"/>
  <c r="L70" i="2"/>
  <c r="K94" i="2"/>
  <c r="K86" i="2"/>
  <c r="K78" i="2"/>
  <c r="K59" i="2"/>
  <c r="K51" i="2"/>
  <c r="K43" i="2"/>
  <c r="K19" i="2"/>
  <c r="K102" i="2"/>
  <c r="K89" i="2"/>
  <c r="K81" i="2"/>
  <c r="K62" i="2"/>
  <c r="K54" i="2"/>
  <c r="K46" i="2"/>
  <c r="K38" i="2"/>
  <c r="K106" i="2"/>
  <c r="K103" i="2"/>
  <c r="K92" i="2"/>
  <c r="K84" i="2"/>
  <c r="K76" i="2"/>
  <c r="K57" i="2"/>
  <c r="K49" i="2"/>
  <c r="K41" i="2"/>
  <c r="K17" i="2"/>
  <c r="K95" i="2"/>
  <c r="K87" i="2"/>
  <c r="K79" i="2"/>
  <c r="K60" i="2"/>
  <c r="K52" i="2"/>
  <c r="K44" i="2"/>
  <c r="K36" i="2"/>
  <c r="K80" i="2"/>
  <c r="K37" i="2"/>
  <c r="K91" i="2"/>
  <c r="K56" i="2"/>
  <c r="K40" i="2"/>
  <c r="K101" i="2"/>
  <c r="K90" i="2"/>
  <c r="K82" i="2"/>
  <c r="K63" i="2"/>
  <c r="K55" i="2"/>
  <c r="K47" i="2"/>
  <c r="K39" i="2"/>
  <c r="K105" i="2"/>
  <c r="K93" i="2"/>
  <c r="K85" i="2"/>
  <c r="K77" i="2"/>
  <c r="K58" i="2"/>
  <c r="K50" i="2"/>
  <c r="K42" i="2"/>
  <c r="K18" i="2"/>
  <c r="K96" i="2"/>
  <c r="K88" i="2"/>
  <c r="K61" i="2"/>
  <c r="K53" i="2"/>
  <c r="K45" i="2"/>
  <c r="K104" i="2"/>
  <c r="K83" i="2"/>
  <c r="K64" i="2"/>
  <c r="K48" i="2"/>
  <c r="L100" i="2"/>
  <c r="L105" i="2"/>
  <c r="L102" i="2"/>
  <c r="L89" i="2"/>
  <c r="L81" i="2"/>
  <c r="L62" i="2"/>
  <c r="L54" i="2"/>
  <c r="L46" i="2"/>
  <c r="L38" i="2"/>
  <c r="L84" i="2"/>
  <c r="L49" i="2"/>
  <c r="L39" i="2"/>
  <c r="L19" i="2"/>
  <c r="L96" i="2"/>
  <c r="L53" i="2"/>
  <c r="L61" i="2"/>
  <c r="L95" i="2"/>
  <c r="L87" i="2"/>
  <c r="L79" i="2"/>
  <c r="L60" i="2"/>
  <c r="L52" i="2"/>
  <c r="L44" i="2"/>
  <c r="L36" i="2"/>
  <c r="L103" i="2"/>
  <c r="L76" i="2"/>
  <c r="L41" i="2"/>
  <c r="L94" i="2"/>
  <c r="L59" i="2"/>
  <c r="L18" i="2"/>
  <c r="L88" i="2"/>
  <c r="L82" i="2"/>
  <c r="L45" i="2"/>
  <c r="L91" i="2"/>
  <c r="L56" i="2"/>
  <c r="L40" i="2"/>
  <c r="L92" i="2"/>
  <c r="L43" i="2"/>
  <c r="L47" i="2"/>
  <c r="L93" i="2"/>
  <c r="L85" i="2"/>
  <c r="L77" i="2"/>
  <c r="L58" i="2"/>
  <c r="L50" i="2"/>
  <c r="L42" i="2"/>
  <c r="L106" i="2"/>
  <c r="L101" i="2"/>
  <c r="L90" i="2"/>
  <c r="L86" i="2"/>
  <c r="L51" i="2"/>
  <c r="L17" i="2"/>
  <c r="L80" i="2"/>
  <c r="L63" i="2"/>
  <c r="L37" i="2"/>
  <c r="L104" i="2"/>
  <c r="L83" i="2"/>
  <c r="L64" i="2"/>
  <c r="L48" i="2"/>
  <c r="L57" i="2"/>
  <c r="L78" i="2"/>
  <c r="L55" i="2"/>
  <c r="L12" i="2"/>
  <c r="L97" i="2"/>
  <c r="K97" i="2"/>
  <c r="K100" i="2"/>
  <c r="I133" i="24"/>
  <c r="K12" i="2"/>
  <c r="A132" i="24"/>
  <c r="G133" i="24"/>
</calcChain>
</file>

<file path=xl/sharedStrings.xml><?xml version="1.0" encoding="utf-8"?>
<sst xmlns="http://schemas.openxmlformats.org/spreadsheetml/2006/main" count="693" uniqueCount="545">
  <si>
    <t>331.04</t>
  </si>
  <si>
    <t>Tên</t>
  </si>
  <si>
    <t>Cộng số phát sinh</t>
  </si>
  <si>
    <t>Chứng từ</t>
  </si>
  <si>
    <t>Diễn giải</t>
  </si>
  <si>
    <t>Số tiền</t>
  </si>
  <si>
    <t>Số</t>
  </si>
  <si>
    <t>Ngày</t>
  </si>
  <si>
    <t>331.01</t>
  </si>
  <si>
    <t>331.02</t>
  </si>
  <si>
    <t>331.03</t>
  </si>
  <si>
    <t>112</t>
  </si>
  <si>
    <t>338</t>
  </si>
  <si>
    <t>Tổng cộng:</t>
  </si>
  <si>
    <t>111</t>
  </si>
  <si>
    <t>TK đối ứng</t>
  </si>
  <si>
    <t>Tiền mặt</t>
  </si>
  <si>
    <t>Số hiệu TK</t>
  </si>
  <si>
    <t>152</t>
  </si>
  <si>
    <t>331</t>
  </si>
  <si>
    <t>Tài khoản</t>
  </si>
  <si>
    <t>Số phát sinh</t>
  </si>
  <si>
    <t>Nợ</t>
  </si>
  <si>
    <t>Có</t>
  </si>
  <si>
    <t>1</t>
  </si>
  <si>
    <t>2</t>
  </si>
  <si>
    <t>3</t>
  </si>
  <si>
    <t>4</t>
  </si>
  <si>
    <t>5</t>
  </si>
  <si>
    <t>6</t>
  </si>
  <si>
    <t>7</t>
  </si>
  <si>
    <t>Chỉ tiêu</t>
  </si>
  <si>
    <t>TÀI SẢN</t>
  </si>
  <si>
    <t>Tiền gửi ngân hàng</t>
  </si>
  <si>
    <t>NGUỒN VỐN</t>
  </si>
  <si>
    <t>131</t>
  </si>
  <si>
    <t>421</t>
  </si>
  <si>
    <t>511</t>
  </si>
  <si>
    <t>635</t>
  </si>
  <si>
    <t>Chi phí tài chính</t>
  </si>
  <si>
    <t>642</t>
  </si>
  <si>
    <t>911</t>
  </si>
  <si>
    <t xml:space="preserve"> </t>
  </si>
  <si>
    <t>BẢNG CÂN ĐỐI SỐ PHÁT SINH</t>
  </si>
  <si>
    <t>1111</t>
  </si>
  <si>
    <t>Tiền Việt Nam</t>
  </si>
  <si>
    <t>1121</t>
  </si>
  <si>
    <t>1121.01</t>
  </si>
  <si>
    <t>1121.02</t>
  </si>
  <si>
    <t>Phải thu khách hàng</t>
  </si>
  <si>
    <t>Thuế GTGT được khấu trừ</t>
  </si>
  <si>
    <t>Thuế GTGT được khấu trừ của HH,DV</t>
  </si>
  <si>
    <t>Thuế GTGT được khấu trừ của TSCĐ</t>
  </si>
  <si>
    <t>Nguyên liệu, vật liệu</t>
  </si>
  <si>
    <t>Công cụ, dụng cụ</t>
  </si>
  <si>
    <t>Hàng hóa</t>
  </si>
  <si>
    <t>2411</t>
  </si>
  <si>
    <t>211</t>
  </si>
  <si>
    <t>Tài sản cố định hữu hình</t>
  </si>
  <si>
    <t>214</t>
  </si>
  <si>
    <t>Hao mòn tài sản cố định</t>
  </si>
  <si>
    <t>2141</t>
  </si>
  <si>
    <t>Hao mòn Tài sản cố định hữu hình</t>
  </si>
  <si>
    <t>241</t>
  </si>
  <si>
    <t>Xây dựng cơ bản dở dang</t>
  </si>
  <si>
    <t>Mua sắm tài sản cố định</t>
  </si>
  <si>
    <t>2412</t>
  </si>
  <si>
    <t>242</t>
  </si>
  <si>
    <t>341</t>
  </si>
  <si>
    <t>Phải trả phải nộp khác</t>
  </si>
  <si>
    <t>33411</t>
  </si>
  <si>
    <t>33412</t>
  </si>
  <si>
    <t>Phải trả lương</t>
  </si>
  <si>
    <t>Phải trả ăn giữa ca</t>
  </si>
  <si>
    <t>341.01</t>
  </si>
  <si>
    <t>Kinh phí công đoàn</t>
  </si>
  <si>
    <t>Bảo hiểm xã hội</t>
  </si>
  <si>
    <t>Bảo hiểm y tế</t>
  </si>
  <si>
    <t xml:space="preserve">Phải trả, phải nộp khác </t>
  </si>
  <si>
    <t>Doanh thu bán hàng và cung cấp dịch vụ</t>
  </si>
  <si>
    <t xml:space="preserve">Doanh thu hoạt động tài chính </t>
  </si>
  <si>
    <t>515</t>
  </si>
  <si>
    <t>Chi phí nguyên liệu, vật liệu trực tiếp</t>
  </si>
  <si>
    <t>Chi phí nhân công trực tiếp</t>
  </si>
  <si>
    <t>Chi phí sản xuất chung</t>
  </si>
  <si>
    <t>Chi phí nhân viên phân xưởng</t>
  </si>
  <si>
    <t>Chi phí vật liệu</t>
  </si>
  <si>
    <t>Chi phí dụng cụ sản xuất</t>
  </si>
  <si>
    <t>Chi phí khấu hao TSCĐ</t>
  </si>
  <si>
    <t>Chi phí dịch vụ mua ngoài</t>
  </si>
  <si>
    <t>Chi phí bằng tiền khác</t>
  </si>
  <si>
    <t>627</t>
  </si>
  <si>
    <t>Giá vốn hàng bán</t>
  </si>
  <si>
    <t>632</t>
  </si>
  <si>
    <t>Chi phí bán hàng</t>
  </si>
  <si>
    <t xml:space="preserve">Chi phí nhân viên </t>
  </si>
  <si>
    <t>Chi phí dụng cụ, đồ dùng</t>
  </si>
  <si>
    <t>Chi phí bảo hành</t>
  </si>
  <si>
    <t>Chi phí quản lý doanh nghiệp</t>
  </si>
  <si>
    <t>Chi phí nhân viên quản lý</t>
  </si>
  <si>
    <t>Chi phí vật liệu quản lý</t>
  </si>
  <si>
    <t>Chi phí đồ dùng văn phòng</t>
  </si>
  <si>
    <t>Thuế, phí và lệ phí</t>
  </si>
  <si>
    <t>Chi phí dự phòng</t>
  </si>
  <si>
    <t>641</t>
  </si>
  <si>
    <t>711</t>
  </si>
  <si>
    <t>811</t>
  </si>
  <si>
    <t>Thu nhập khác</t>
  </si>
  <si>
    <t>Chi phí khác</t>
  </si>
  <si>
    <t>Chi phí thuế thu nhập doanh nghiệp</t>
  </si>
  <si>
    <t>Chi phí thuế TNDN hiện hành</t>
  </si>
  <si>
    <t>Chi phí thuế TNDN hoãn lại</t>
  </si>
  <si>
    <t>821</t>
  </si>
  <si>
    <t>8211</t>
  </si>
  <si>
    <t>8212</t>
  </si>
  <si>
    <t>Xác định kết quả kinh doanh</t>
  </si>
  <si>
    <t>Nợ</t>
  </si>
  <si>
    <t>Có</t>
  </si>
  <si>
    <t>Mẫu số B 01 - DN</t>
  </si>
  <si>
    <t>BẢNG CÂN ĐỐI KẾ TOÁN</t>
  </si>
  <si>
    <t>Mã số</t>
  </si>
  <si>
    <t>Thuyết minh</t>
  </si>
  <si>
    <t>Số cuối kỳ</t>
  </si>
  <si>
    <t>A - TÀI SẢN NGẮN HẠN (100=110+120+130+140+150)</t>
  </si>
  <si>
    <t xml:space="preserve">  2. Các khoản tương đương tiền</t>
  </si>
  <si>
    <t>III. Các khoản phải thu ngắn hạn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</si>
  <si>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</si>
  <si>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</si>
  <si>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</si>
  <si>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>IV. Hàng tồn kho</t>
  </si>
  <si>
    <t xml:space="preserve">  1. Hàng tồn kho</t>
  </si>
  <si>
    <t xml:space="preserve">  2. Dự phòng giảm giá hàng tồn kho (*)</t>
  </si>
  <si>
    <t>V. Tài sản ngắn hạn khác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</si>
  <si>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</si>
  <si>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</si>
  <si>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</si>
  <si>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</si>
  <si>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>B - TÀI SẢN DÀI HẠN (200 = 210 + 220 + 240 + 250 + 260)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</si>
  <si>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</si>
  <si>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</si>
  <si>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</si>
  <si>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</si>
  <si>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</si>
  <si>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</si>
  <si>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</si>
  <si>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</si>
  <si>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III. Bất động sản đầu tư</t>
  </si>
  <si>
    <t xml:space="preserve">  1. Chi phí trả trước dài hạn</t>
  </si>
  <si>
    <t xml:space="preserve">  2. Tài sản thuế thu nhập hoãn lại</t>
  </si>
  <si>
    <t>TỔNG CỘNG TÀI SẢN (270 = 100 + 200)</t>
  </si>
  <si>
    <t>I. Nợ ngắn hạn</t>
  </si>
  <si>
    <t>II. Nợ dài hạn</t>
  </si>
  <si>
    <t>B - VỐN CHỦ SỞ HỮU (400 = 410 + 430)</t>
  </si>
  <si>
    <t>I. Vốn chủ sở hữu</t>
  </si>
  <si>
    <t xml:space="preserve">  2. Thặng dư vốn cổ phần</t>
  </si>
  <si>
    <t>II. Nguồn kinh phí và quỹ khác</t>
  </si>
  <si>
    <t>TỔNG CỘNG NGUỒN VỐN (440 = 300 + 400)</t>
  </si>
  <si>
    <t>CHỈ TIÊU</t>
  </si>
  <si>
    <t>Mẫu số B 03 – DN</t>
  </si>
  <si>
    <t>BÁO CÁO LƯU CHUYỂN TIỀN TỆ</t>
  </si>
  <si>
    <t>Năm nay</t>
  </si>
  <si>
    <t>Năm trước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</si>
  <si>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</si>
  <si>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</si>
  <si>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</si>
  <si>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</si>
  <si>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</si>
  <si>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</si>
  <si>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</si>
  <si>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</si>
  <si>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</si>
  <si>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</si>
  <si>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</si>
  <si>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</si>
  <si>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</si>
  <si>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</si>
  <si>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</si>
  <si>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</si>
  <si>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</si>
  <si>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</si>
  <si>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</si>
  <si>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</si>
  <si>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</si>
  <si>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</si>
  <si>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</si>
  <si>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</si>
  <si>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</si>
  <si>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Giám đốc</t>
  </si>
  <si>
    <t>SỔ NHẬT KÝ CHUNG</t>
  </si>
  <si>
    <t>Mẫu số S03a - DN</t>
  </si>
  <si>
    <t>Đvt: Đồng VN</t>
  </si>
  <si>
    <t>(Theo phương pháp trực tiếp)</t>
  </si>
  <si>
    <t>KẾ TOÁN TRƯỞNG</t>
  </si>
  <si>
    <t>GIÁM ĐỐC</t>
  </si>
  <si>
    <t>Địa chỉ:</t>
  </si>
  <si>
    <t>Địa chỉ</t>
  </si>
  <si>
    <t>Tên, địa chỉ (P.Thu, P.Chi)</t>
  </si>
  <si>
    <t xml:space="preserve">       Người lập biểu                                   Kế toán trưởng</t>
  </si>
  <si>
    <t>SỔ CÁI</t>
  </si>
  <si>
    <t>Tổng cộng</t>
  </si>
  <si>
    <t>a - Nợ phải trả (300 = 310 + 330)</t>
  </si>
  <si>
    <t xml:space="preserve">  1. Nguồn kinh phí </t>
  </si>
  <si>
    <t xml:space="preserve">  2. Nguồn kinh phí đã hình thành TSCĐ</t>
  </si>
  <si>
    <t xml:space="preserve"> Mẫu số B 02 – DN</t>
  </si>
  <si>
    <t>BÁO CÁO KẾT QUẢ HOẠT ĐỘNG KINH DOANH</t>
  </si>
  <si>
    <t xml:space="preserve">                             Đơn vị tính VNĐ</t>
  </si>
  <si>
    <t xml:space="preserve">Mã </t>
  </si>
  <si>
    <t>Thuyết</t>
  </si>
  <si>
    <t>số</t>
  </si>
  <si>
    <t xml:space="preserve"> minh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</si>
  <si>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</si>
  <si>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</si>
  <si>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</si>
  <si>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</si>
  <si>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</si>
  <si>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</si>
  <si>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5. Lợi nhuận gộp về bán hàng và cung cấp dịch vụ 
    (20 = 10 - 11)</t>
  </si>
  <si>
    <t>6. Doanh thu hoạt động tài chính</t>
  </si>
  <si>
    <t>7. Chi phí tài chính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</si>
  <si>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</si>
  <si>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</si>
  <si>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</si>
  <si>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</si>
  <si>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</si>
  <si>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</si>
  <si>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</si>
  <si>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</si>
  <si>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</si>
  <si>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</si>
  <si>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</si>
  <si>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</si>
  <si>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</si>
  <si>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>3341</t>
  </si>
  <si>
    <t>Phải trả công nhân viên</t>
  </si>
  <si>
    <t>Phải trả người lao động</t>
  </si>
  <si>
    <t>Thuế và các khoản phải nộp Nhà nước</t>
  </si>
  <si>
    <t>Thuế GTGT phải nộp</t>
  </si>
  <si>
    <t>242.01</t>
  </si>
  <si>
    <t>242.02</t>
  </si>
  <si>
    <t>Nhà cửa, vật kiến trúc</t>
  </si>
  <si>
    <t>Máy móc, thiết bị</t>
  </si>
  <si>
    <t>Phương tiện vận tải, truyền dẫn</t>
  </si>
  <si>
    <t>Thiết bị, dụng cụ quản lý</t>
  </si>
  <si>
    <t>Tài sản thuế thu nhập hoãn lại</t>
  </si>
  <si>
    <t>Phải thu khác</t>
  </si>
  <si>
    <t>1388.01</t>
  </si>
  <si>
    <t>1388.02</t>
  </si>
  <si>
    <t xml:space="preserve">Phải thu khác - </t>
  </si>
  <si>
    <t>3388.01</t>
  </si>
  <si>
    <t>3388.02</t>
  </si>
  <si>
    <t>341.02</t>
  </si>
  <si>
    <t>Năm trước</t>
  </si>
  <si>
    <t>Tên tài khoản</t>
  </si>
  <si>
    <t xml:space="preserve">                       Người lập biểu                            Kế toán trưởng</t>
  </si>
  <si>
    <t>Kỳ báo cáo:</t>
  </si>
  <si>
    <t>Giám đốc:</t>
  </si>
  <si>
    <t>Kế toán trưởng:</t>
  </si>
  <si>
    <t>Lập biểu:</t>
  </si>
  <si>
    <t>Thủ quỹ:</t>
  </si>
  <si>
    <t>Thủ kho:</t>
  </si>
  <si>
    <t>Bảng thông tin</t>
  </si>
  <si>
    <t>Ngày cuối:</t>
  </si>
  <si>
    <t>Chi phí sản xuất kinh doanh dở dang</t>
  </si>
  <si>
    <t>NGƯỜI GHI SỔ</t>
  </si>
  <si>
    <t>Số hiệu:</t>
  </si>
  <si>
    <t>Tên tài khoản:</t>
  </si>
  <si>
    <t>Công ty:</t>
  </si>
  <si>
    <t>Bùi Ngọc Thủy Tiên</t>
  </si>
  <si>
    <t>Phí,lệ phí và các khoản phải nộp khác</t>
  </si>
  <si>
    <t>8111</t>
  </si>
  <si>
    <t>8112</t>
  </si>
  <si>
    <t>Bảo hiểm thất nghiệp</t>
  </si>
  <si>
    <t>II. Đầu tư tài chính ngắn hạn</t>
  </si>
  <si>
    <t xml:space="preserve">  3. Đầu tư nắm giữ đến ngày đáo hạn</t>
  </si>
  <si>
    <t xml:space="preserve">  1. Phải thu ngắn hạn của khách hàng </t>
  </si>
  <si>
    <t xml:space="preserve">  5. Phải thu về cho vay ngắn hạn</t>
  </si>
  <si>
    <t xml:space="preserve">  6. Phải thu ngắn hạn khác</t>
  </si>
  <si>
    <t xml:space="preserve">  4. Giao dịch mua bán lại trái phiếu chính phủ</t>
  </si>
  <si>
    <t>IV. Tài sản dở dang dài hạn</t>
  </si>
  <si>
    <t xml:space="preserve">  2. Chi phí xây dựng cơ bản dở dang</t>
  </si>
  <si>
    <t>V. Đầu tư tài chính dài hạn</t>
  </si>
  <si>
    <t xml:space="preserve">  1. Đầu tư vào công ty con</t>
  </si>
  <si>
    <t xml:space="preserve">  2. Đầu tư vào công ty liên doanh, liên kết</t>
  </si>
  <si>
    <t xml:space="preserve">  4. Dự phòng đầu tư tài chính dài hạn (*)</t>
  </si>
  <si>
    <t xml:space="preserve">  5. Đầu tư nắm giữ đến ngày đáo hạn</t>
  </si>
  <si>
    <t>VI. Tài sản dài hạn khác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</si>
  <si>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</si>
  <si>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</si>
  <si>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</si>
  <si>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</si>
  <si>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>421a</t>
  </si>
  <si>
    <t>421b</t>
  </si>
  <si>
    <t xml:space="preserve">  1. Vốn góp của chủ sở hữu</t>
  </si>
  <si>
    <t xml:space="preserve">  3. Quyền chọn chuyển đổi trái phiếu</t>
  </si>
  <si>
    <t xml:space="preserve">  4. Vốn khác của chủ sở hữu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</si>
  <si>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</si>
  <si>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</si>
  <si>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</si>
  <si>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dự đầu tư phát triển</t>
  </si>
  <si>
    <t xml:space="preserve">  9. Quỹ hỗ trợ sắp xếp doanh nghiệp</t>
  </si>
  <si>
    <t xml:space="preserve">  10. Quỹ khác thuộc vốn chủ sở hữu</t>
  </si>
  <si>
    <t xml:space="preserve">  11. Lợi nhuận sau thuế chưa phân phối</t>
  </si>
  <si>
    <t xml:space="preserve">        - LNST chưa phân phối lũy kế đến cuối kỳ trước</t>
  </si>
  <si>
    <t xml:space="preserve">        - LNST chưa phân phối kỳ này</t>
  </si>
  <si>
    <t>19. Lãi suy giảm trên cổ phiếu (*)</t>
  </si>
  <si>
    <t>(Ban hành theo Thông tư số 200/2014/TT-BTC</t>
  </si>
  <si>
    <t>ngày 22/12/2014 của Bộ tài chính)</t>
  </si>
  <si>
    <t>(Ban hành theo theo TT 200/2014/TT-BTC</t>
  </si>
  <si>
    <t xml:space="preserve">  1. Chứng khoán kinh doanh</t>
  </si>
  <si>
    <t xml:space="preserve">  1. Chi phí sản xuất, kinh doanh dở dang dài hạn</t>
  </si>
  <si>
    <t xml:space="preserve">  1. Phải trả người bán dài hạn</t>
  </si>
  <si>
    <t xml:space="preserve">Chi phí trả trước </t>
  </si>
  <si>
    <t>Phải trả cho người bán</t>
  </si>
  <si>
    <t>Thuế bảo vệ môi trường và các loại thuế khác</t>
  </si>
  <si>
    <t>3386</t>
  </si>
  <si>
    <t>Vay và nợ thuê tài chính</t>
  </si>
  <si>
    <t>Vốn đầu tư của chủ sở hữu</t>
  </si>
  <si>
    <t>Vốn góp của chủ sở hữu</t>
  </si>
  <si>
    <t>Lợi nhuận sau thuế chưa phân phối năm nay</t>
  </si>
  <si>
    <t>Chi phí nguyên vật liệu, bao bì</t>
  </si>
  <si>
    <t xml:space="preserve">  2. Dự phòng giảm giá chứng khoán kinh doanh (*)</t>
  </si>
  <si>
    <t xml:space="preserve">  7. Dự phòng phải thu ngắn hạn khó đòi (*)</t>
  </si>
  <si>
    <t xml:space="preserve">  8. Tài sản thiếu chờ xử lý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</si>
  <si>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</si>
  <si>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</si>
  <si>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</si>
  <si>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 </t>
  </si>
  <si>
    <t xml:space="preserve">  6. Phải thu dài hạn khác</t>
  </si>
  <si>
    <t xml:space="preserve">  7. Dự phòng phải thu dài hạn khó đòi (*)</t>
  </si>
  <si>
    <t xml:space="preserve">  3. Đầu tư góp vốn vào đơn vị khác</t>
  </si>
  <si>
    <t xml:space="preserve">  3. Thiết bị, vật tư, phụ tùng thay thế dài hạn</t>
  </si>
  <si>
    <t xml:space="preserve">  4. Tài sản dài hạn khác</t>
  </si>
  <si>
    <t xml:space="preserve">  1. Phải trả người bán ngắn hạn</t>
  </si>
  <si>
    <t xml:space="preserve">  2. Người mua trả tiền trước ngắn hạn</t>
  </si>
  <si>
    <t xml:space="preserve">  3. Thuế và các khoản phải nộp Nhà nước</t>
  </si>
  <si>
    <t xml:space="preserve">  4. Phải trả người lao động</t>
  </si>
  <si>
    <t xml:space="preserve">  5. Chi phí phải trả ngắn hạn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</si>
  <si>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</si>
  <si>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</si>
  <si>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</si>
  <si>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</si>
  <si>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</si>
  <si>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</si>
  <si>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</si>
  <si>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</si>
  <si>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</si>
  <si>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</si>
  <si>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</si>
  <si>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</si>
  <si>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</si>
  <si>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</si>
  <si>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</t>
  </si>
  <si>
    <t xml:space="preserve">  12. Dự phòng phải trả dài hạn</t>
  </si>
  <si>
    <t xml:space="preserve">  13. Quỹ phát triển khoa học và công nghệ</t>
  </si>
  <si>
    <t xml:space="preserve">  12. Nguồn vốn đầu tư XDCB</t>
  </si>
  <si>
    <t>4. Tiền lãi vay đã trả</t>
  </si>
  <si>
    <t>5. Tiền thuế thu nhập doanh nghiệp đã nộp</t>
  </si>
  <si>
    <t>3.Tiền thu từ đi vay</t>
  </si>
  <si>
    <t>4.Tiền trả nợ gốc vay</t>
  </si>
  <si>
    <t>5.Tiền trả nợ gốc thuê tài chính</t>
  </si>
  <si>
    <t>Cầm cố, thế chấp, ký quỹ, ký cược</t>
  </si>
  <si>
    <t>Lợi nhuận sau thuế chưa phân phối năm trước</t>
  </si>
  <si>
    <t>6321</t>
  </si>
  <si>
    <t>6322</t>
  </si>
  <si>
    <t>Giá vốn thành phẩm</t>
  </si>
  <si>
    <t>Giá vốn hàng hóa</t>
  </si>
  <si>
    <t>244.01</t>
  </si>
  <si>
    <t>Số dư đầu</t>
  </si>
  <si>
    <t>Phát sinh</t>
  </si>
  <si>
    <t>Số dư cuối</t>
  </si>
  <si>
    <t>Chi phí khác</t>
  </si>
  <si>
    <t>Hồ Ngọc Linh</t>
  </si>
  <si>
    <t>Phải trả, phải nộp khác -</t>
  </si>
  <si>
    <t>131.01</t>
  </si>
  <si>
    <t>131.02</t>
  </si>
  <si>
    <t>Phải thu KH -</t>
  </si>
  <si>
    <t>Số dư cuối kỳ</t>
  </si>
  <si>
    <t>I.  Tiền và các khoản tương đương tiền</t>
  </si>
  <si>
    <t xml:space="preserve">  1. Tiền </t>
  </si>
  <si>
    <t>Thuế thu nhập cá nhân</t>
  </si>
  <si>
    <t xml:space="preserve">Vay - </t>
  </si>
  <si>
    <t xml:space="preserve">Ký cược - </t>
  </si>
  <si>
    <t>Chi phí trả trước  - Ngắn hạn</t>
  </si>
  <si>
    <t>Chi phí trả trước  - Dài hạn</t>
  </si>
  <si>
    <t>Tiền gửi NH - Tiền Việt Nam</t>
  </si>
  <si>
    <t xml:space="preserve">Tiền gửi NH -Tiền Việt Nam - </t>
  </si>
  <si>
    <t>Phát sinh trong kỳ</t>
  </si>
  <si>
    <t>5111</t>
  </si>
  <si>
    <t>5112</t>
  </si>
  <si>
    <t>Doanh thu bán hàng hoá</t>
  </si>
  <si>
    <t>Doanh thu cung cấp dịch vụ</t>
  </si>
  <si>
    <t>Số dư đầu kỳ</t>
  </si>
  <si>
    <t>Thuế thu nhập doanh nghiệp</t>
  </si>
  <si>
    <t>Phải thu KH - Công ty Diệp Bảo Tuấn</t>
  </si>
  <si>
    <t>131.03</t>
  </si>
  <si>
    <t>131.04</t>
  </si>
  <si>
    <t>Lợi nhuận sau thuế chưa phân phối</t>
  </si>
  <si>
    <t>LẬP BIỂU</t>
  </si>
  <si>
    <t>Phải thu KH - Công ty CP TM Duy Linh</t>
  </si>
  <si>
    <t xml:space="preserve">Hàng hoá - </t>
  </si>
  <si>
    <t>K/c</t>
  </si>
  <si>
    <t>131.05</t>
  </si>
  <si>
    <t>Công ty Cổ phần Sản xuất Thương mại APEC</t>
  </si>
  <si>
    <t>Tháng 5/2024</t>
  </si>
  <si>
    <t>32 đường số 7, Phường Bình Hưng Hòa, Quận Bình Tân, TP Hồ Chí Minh</t>
  </si>
  <si>
    <t>Bộ phận</t>
  </si>
  <si>
    <t>Tổng tiền lương tháng này</t>
  </si>
  <si>
    <t>Trừ BHXH,BHYT,BHTN (10,5%)</t>
  </si>
  <si>
    <t>Trừ tạm ứng</t>
  </si>
  <si>
    <t>Thực lĩnh</t>
  </si>
  <si>
    <t>(A)</t>
  </si>
  <si>
    <t>(1)</t>
  </si>
  <si>
    <t>(2)</t>
  </si>
  <si>
    <t>(3)</t>
  </si>
  <si>
    <t>(4)</t>
  </si>
  <si>
    <t>(5) = (2)-(3)-(4)</t>
  </si>
  <si>
    <t>Tổng cộng</t>
  </si>
  <si>
    <t>(5) = (2)+ (3)+(4)</t>
  </si>
  <si>
    <t>Sản xuất</t>
  </si>
  <si>
    <t>Bán hàng</t>
  </si>
  <si>
    <t>Quản lý</t>
  </si>
  <si>
    <t>Mức lương theo HĐLĐ</t>
  </si>
  <si>
    <t>BẢNG THANH TOÁN LƯƠNG</t>
  </si>
  <si>
    <t>CÁC KHOẢN CHI PHÍ TRÍCH THEO LƯƠNG</t>
  </si>
  <si>
    <t>Tiền gửi NH -Tiền Việt Nam -Vietinbank</t>
  </si>
  <si>
    <t>Hàng hoá - Phao cứu sinh HY-G5</t>
  </si>
  <si>
    <t>Hàng hoá - Áo phao người lớn HXY-A6</t>
  </si>
  <si>
    <t>PC 01</t>
  </si>
  <si>
    <t>Tạm ứng</t>
  </si>
  <si>
    <t>141.01</t>
  </si>
  <si>
    <t>141.02</t>
  </si>
  <si>
    <t xml:space="preserve">Tạm ứng - </t>
  </si>
  <si>
    <t xml:space="preserve">Tạm ứng - Ông Đặng Văn Dũng </t>
  </si>
  <si>
    <t xml:space="preserve">Phải trả NB - Công ty Hưng Thịnh </t>
  </si>
  <si>
    <t xml:space="preserve">mua hàng của Công ty Hưng Thịnh về nhập kho, chưa thanh toán </t>
  </si>
  <si>
    <t>Hóa đơn 0345</t>
  </si>
  <si>
    <t>Hóa đơn 00030</t>
  </si>
  <si>
    <t>Phải thu KH - Công ty Osika</t>
  </si>
  <si>
    <t>Tồn đầu</t>
  </si>
  <si>
    <t>Nhập</t>
  </si>
  <si>
    <t>Xuất</t>
  </si>
  <si>
    <t>Tồn cuối</t>
  </si>
  <si>
    <t>Áo phao người lớn HXY-A6</t>
  </si>
  <si>
    <t>Phao cứu sinh HY-G5</t>
  </si>
  <si>
    <t>Thành tiền</t>
  </si>
  <si>
    <t>Số lượng</t>
  </si>
  <si>
    <t>Tên hàng hóa</t>
  </si>
  <si>
    <t>Cộng</t>
  </si>
  <si>
    <t>Phải trả NB - Công ty CP Nam Long</t>
  </si>
  <si>
    <t xml:space="preserve">giám đốc tiếp khách (ăn uống) </t>
  </si>
  <si>
    <t>PC 02</t>
  </si>
  <si>
    <t>UNC 01</t>
  </si>
  <si>
    <t>Xuất kho Áo phao người lớn HXY-A6</t>
  </si>
  <si>
    <t>PXK</t>
  </si>
  <si>
    <t xml:space="preserve">ông Đặng Văn Dũng - Phòng kinh doanh thanh toán tạm ứng theo bảng kê </t>
  </si>
  <si>
    <t>TTTƯ</t>
  </si>
  <si>
    <t>ông Đặng Văn Dũng - Phòng kinh doanh thanh toán tạm ứng theo bảng kê (ko có hóa đơn)</t>
  </si>
  <si>
    <t>PT 01</t>
  </si>
  <si>
    <t>Thu hoàn ứng - Đặng Văn Dũng</t>
  </si>
  <si>
    <t>Phải thu KH - Công ty Hàng Hải Sài Gòn</t>
  </si>
  <si>
    <t>Công ty Hàng Hải Sài Gòn chuyển khoản qua Vietinbank thanh toán hết tiền nợ đầu tháng 5/2024</t>
  </si>
  <si>
    <t>Báo có số 222</t>
  </si>
  <si>
    <t>BẢNG CHI TIẾT TRỪ LƯƠNG NGƯỜI LAO ĐỘNG</t>
  </si>
  <si>
    <t>chuyển khoản tạm ứng lương cho người lao động</t>
  </si>
  <si>
    <t>UNC 02</t>
  </si>
  <si>
    <t>(BHXH 8%)</t>
  </si>
  <si>
    <t xml:space="preserve"> (BHYT 1,5%)</t>
  </si>
  <si>
    <t>(BHTN 1%)</t>
  </si>
  <si>
    <t>BHXH (17,5%)</t>
  </si>
  <si>
    <t>BHYT (3%)</t>
  </si>
  <si>
    <t>BHTN (1%)</t>
  </si>
  <si>
    <t>KPCĐ (2%)</t>
  </si>
  <si>
    <t>Khấu hao phương tiện vân tải</t>
  </si>
  <si>
    <t>KH</t>
  </si>
  <si>
    <t>Trích BHXH - BP Bán hàng</t>
  </si>
  <si>
    <t>Trích BHXH - BP quản lý</t>
  </si>
  <si>
    <t>Trích BHYT - BP Bán hàng</t>
  </si>
  <si>
    <t>Trích BHYT - BP quản lý</t>
  </si>
  <si>
    <t>Trích BHTN - BP Bán hàng</t>
  </si>
  <si>
    <t>Trích BHTN - BP quản lý</t>
  </si>
  <si>
    <t>Trừ lương người lao động - BHXH</t>
  </si>
  <si>
    <t>Trừ lương người lao động - BHYT</t>
  </si>
  <si>
    <t>Trừ lương người lao động - BHTN</t>
  </si>
  <si>
    <t>Bảng lương</t>
  </si>
  <si>
    <t>Bảng tính BH</t>
  </si>
  <si>
    <t xml:space="preserve">Vietinbank báo lãi tiền gửi </t>
  </si>
  <si>
    <t>K/c giá vốn hàng bán để XĐ KQKD</t>
  </si>
  <si>
    <t xml:space="preserve">K/c CP bán hàng để XĐ KQKD </t>
  </si>
  <si>
    <t xml:space="preserve">K/c CP quản lý để XĐ KQKD </t>
  </si>
  <si>
    <t>K/c Doanh thu bán hàng hoá để XĐ KQKD</t>
  </si>
  <si>
    <t>K/c Doanh thu hoạt động tài chính để XĐ KQKD</t>
  </si>
  <si>
    <t>Thuế TNDN phải nộp</t>
  </si>
  <si>
    <t xml:space="preserve">K/c CP thuế TNDN hiện hành để XĐ KQKD </t>
  </si>
  <si>
    <t>K/c Lợi nhận sau thuế TNDN</t>
  </si>
  <si>
    <t>TNTT</t>
  </si>
  <si>
    <t>Thuế GTGT đầu vào được khấu trừ</t>
  </si>
  <si>
    <t>Phải thu khác - Công ty Nam Hà</t>
  </si>
  <si>
    <t>Ngày 31/05/2024</t>
  </si>
  <si>
    <t>Lâm Văn Bền</t>
  </si>
  <si>
    <t>Ông Phan Hải Triều là cá nhân cư trú, ký hợp đồng lao động thời hạn 08 tháng với Công ty X. Thông tin thu nhập trong tháng 05/2024 ông tại Công ty X như sau:</t>
  </si>
  <si>
    <t>BHXH, BHYT và BHTN bị trừ vào lương</t>
  </si>
  <si>
    <t>Ăn giữa ca nhận bằng tiền</t>
  </si>
  <si>
    <t>Ông Triều và người phụ thuộc đều có mã số thuế cá nhân.</t>
  </si>
  <si>
    <t>Thu nhập chịu thuế</t>
  </si>
  <si>
    <t>Thu nhập tính thuế</t>
  </si>
  <si>
    <t>PC 03</t>
  </si>
  <si>
    <t>Chi tạm ứng Đặng Văn Dũng</t>
  </si>
  <si>
    <t>nộp dứt điểm tiền thuế GTGT đầu tháng 05/2024</t>
  </si>
  <si>
    <t>nộp dứt điểm tiền  thuế TNDN đầu tháng 05/2024</t>
  </si>
  <si>
    <t>LNKT TT</t>
  </si>
  <si>
    <t>Trích KPCĐ - BP Bán hàng</t>
  </si>
  <si>
    <t>Trích KPCĐ - BP quản lý</t>
  </si>
  <si>
    <t xml:space="preserve">Chi phí khác - </t>
  </si>
  <si>
    <t>Báo lãi 223</t>
  </si>
  <si>
    <t>Phải trả NB - Công ty Vạn Phúc</t>
  </si>
  <si>
    <t>Vay ngắn hạn - Vietinbank</t>
  </si>
  <si>
    <t>UNC 03</t>
  </si>
  <si>
    <t>UNC 04</t>
  </si>
  <si>
    <t>giám đốc tiếp khách (ăn uống) - VAT</t>
  </si>
  <si>
    <t>mua hàng của Công ty Hưng Thịnh về nhập kho, chưa thanh toán - VAT</t>
  </si>
  <si>
    <t>Thanh toán tiền điện - Phân bổ BP bán hàng</t>
  </si>
  <si>
    <t>Thanh toán tiền điện - Phân bổ BP quản lý</t>
  </si>
  <si>
    <t>Thanh toán tiền điện - VAT</t>
  </si>
  <si>
    <t>Chi phí lương - BP bán hàng</t>
  </si>
  <si>
    <t>Chi phí lương - BP quản lý</t>
  </si>
  <si>
    <t>Khấu hao nhà của vật kiến trúc - BP bán hàng</t>
  </si>
  <si>
    <t>Khấu hao nhà của vật kiến trúc - BP quản lý</t>
  </si>
  <si>
    <t>Dòng tiền thu</t>
  </si>
  <si>
    <t>Dòng tiền chi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</si>
  <si>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Số người phụ thuộc: 01 người</t>
    </r>
  </si>
  <si>
    <t>Phải trả NB - Eco Hi</t>
  </si>
  <si>
    <t>Số đầu kỳ</t>
  </si>
  <si>
    <t>Bán chịu cho Công ty Osika: Áo phao người lớn HXY-A6</t>
  </si>
  <si>
    <t>Bán chịu cho Công ty Osika: Áo phao người lớn HXY-A6, VAT</t>
  </si>
  <si>
    <t>vay ngắn hạn Ngân hàng Vietinbank trả nợ Công ty Vạn phúc</t>
  </si>
  <si>
    <t>Đvt</t>
  </si>
  <si>
    <t>Chiếc</t>
  </si>
  <si>
    <t>(6)</t>
  </si>
  <si>
    <t>Thanh toán lương cuối tháng cho NLĐ</t>
  </si>
  <si>
    <t>Giả sử ông Triều là cá nhân không cư trú, thuế TNCN phải nộp là:</t>
  </si>
  <si>
    <t>Thưởng</t>
  </si>
  <si>
    <t>Phụ cấp độc hại</t>
  </si>
  <si>
    <t>Thuế TNCN phải nộp</t>
  </si>
  <si>
    <t>ĐỀ 01</t>
  </si>
  <si>
    <t>Lương (chưa trừ bảo hiểm)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</si>
</sst>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m/dd/yy;@"/>
    <numFmt numFmtId="168" formatCode="_(* #,##0.0_);_(* \(#,##0.0\);_(* &quot;-&quot;??_);_(@_)"/>
    <numFmt numFmtId="169" formatCode="_(* #,##0.00000_);_(* \(#,##0.00000\);_(* &quot;-&quot;_);_(@_)"/>
    <numFmt numFmtId="170" formatCode="_(* #,##0.00000_);_(* \(#,##0.00000\);_(* &quot;-&quot;??_);_(@_)"/>
    <numFmt numFmtId="171" formatCode="_(* #,##0.0000_);_(* \(#,##0.0000\);_(* &quot;-&quot;??_);_(@_)"/>
    <numFmt numFmtId="172" formatCode="_-* #,##0_-;\-* #,##0_-;_-* &quot;-&quot;??_-;_-@_-"/>
  </numFmts>
  <fonts count="36">
    <font>
      <sz val="12"/>
      <name val="VNI-Times"/>
    </font>
    <font>
      <sz val="12"/>
      <name val="VNI-Times"/>
    </font>
    <font>
      <sz val="8"/>
      <name val="VNI-Times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rgb="FF0000FF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b/>
      <sz val="12"/>
      <color theme="5" tint="-0.249977111117893"/>
      <name val="Times New Roman"/>
      <family val="1"/>
    </font>
    <font>
      <sz val="12"/>
      <color theme="5" tint="-0.249977111117893"/>
      <name val="Times New Roman"/>
      <family val="1"/>
    </font>
    <font>
      <b/>
      <sz val="8"/>
      <name val="Times New Roman"/>
      <family val="1"/>
    </font>
    <font>
      <b/>
      <i/>
      <sz val="1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color theme="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b/>
      <sz val="12"/>
      <color rgb="FF0000FF"/>
      <name val="Times New Roman"/>
      <family val="1"/>
    </font>
    <font>
      <b/>
      <sz val="12"/>
      <color indexed="20"/>
      <name val="Times New Roman"/>
      <family val="1"/>
    </font>
    <font>
      <b/>
      <sz val="16"/>
      <color indexed="58"/>
      <name val="Times New Roman"/>
      <family val="1"/>
    </font>
    <font>
      <sz val="12"/>
      <color indexed="9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VNI-Times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7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6" fontId="5" fillId="0" borderId="0" xfId="1" applyNumberFormat="1" applyFont="1"/>
    <xf numFmtId="14" fontId="6" fillId="0" borderId="0" xfId="8" applyNumberFormat="1" applyFont="1" applyProtection="1">
      <protection locked="0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/>
    </xf>
    <xf numFmtId="14" fontId="5" fillId="0" borderId="0" xfId="8" applyNumberFormat="1" applyFont="1" applyProtection="1">
      <protection locked="0"/>
    </xf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41" fontId="5" fillId="0" borderId="0" xfId="2" applyFont="1" applyFill="1" applyAlignment="1" applyProtection="1">
      <alignment horizontal="right"/>
      <protection locked="0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3" fontId="5" fillId="0" borderId="30" xfId="6" applyNumberFormat="1" applyFont="1" applyBorder="1" applyAlignment="1">
      <alignment horizontal="right" vertical="top" wrapText="1" indent="1"/>
    </xf>
    <xf numFmtId="0" fontId="5" fillId="0" borderId="30" xfId="0" applyFont="1" applyBorder="1" applyAlignment="1">
      <alignment vertical="top" wrapText="1"/>
    </xf>
    <xf numFmtId="0" fontId="6" fillId="0" borderId="32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3" fontId="6" fillId="0" borderId="32" xfId="0" applyNumberFormat="1" applyFont="1" applyBorder="1" applyAlignment="1">
      <alignment horizontal="right" vertical="top" wrapText="1" indent="1"/>
    </xf>
    <xf numFmtId="3" fontId="6" fillId="0" borderId="33" xfId="0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right" vertical="top" wrapText="1" indent="1"/>
    </xf>
    <xf numFmtId="166" fontId="5" fillId="0" borderId="33" xfId="4" applyNumberFormat="1" applyFont="1" applyBorder="1" applyAlignment="1">
      <alignment horizontal="right" vertical="top" wrapText="1" indent="1"/>
    </xf>
    <xf numFmtId="168" fontId="6" fillId="0" borderId="33" xfId="4" applyNumberFormat="1" applyFont="1" applyBorder="1" applyAlignment="1">
      <alignment horizontal="right" vertical="top" wrapText="1" indent="1"/>
    </xf>
    <xf numFmtId="0" fontId="5" fillId="0" borderId="32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right" vertical="top" wrapText="1" indent="1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right" vertical="top" wrapText="1" inden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3" fontId="5" fillId="0" borderId="22" xfId="0" applyNumberFormat="1" applyFont="1" applyBorder="1" applyAlignment="1">
      <alignment horizontal="right" vertical="top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3" fontId="6" fillId="0" borderId="26" xfId="4" applyNumberFormat="1" applyFont="1" applyBorder="1" applyAlignment="1">
      <alignment horizontal="right" vertical="top" wrapText="1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4" applyNumberFormat="1" applyFont="1" applyBorder="1" applyAlignment="1">
      <alignment horizontal="right" vertical="top" wrapText="1" indent="1"/>
    </xf>
    <xf numFmtId="0" fontId="13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vertical="center" wrapText="1"/>
    </xf>
    <xf numFmtId="3" fontId="13" fillId="9" borderId="0" xfId="4" applyNumberFormat="1" applyFont="1" applyFill="1" applyBorder="1" applyAlignment="1">
      <alignment horizontal="right" vertical="top" wrapText="1" indent="1"/>
    </xf>
    <xf numFmtId="0" fontId="14" fillId="9" borderId="0" xfId="0" applyFont="1" applyFill="1" applyAlignment="1">
      <alignment vertical="top" wrapText="1"/>
    </xf>
    <xf numFmtId="0" fontId="6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top" wrapText="1" indent="1"/>
    </xf>
    <xf numFmtId="0" fontId="5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3" fontId="6" fillId="0" borderId="36" xfId="0" applyNumberFormat="1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3" fontId="5" fillId="0" borderId="0" xfId="0" applyNumberFormat="1" applyFont="1"/>
    <xf numFmtId="3" fontId="5" fillId="0" borderId="32" xfId="0" applyNumberFormat="1" applyFont="1" applyBorder="1" applyAlignment="1">
      <alignment vertical="top" wrapText="1"/>
    </xf>
    <xf numFmtId="3" fontId="5" fillId="0" borderId="33" xfId="0" applyNumberFormat="1" applyFont="1" applyBorder="1" applyAlignment="1">
      <alignment vertical="top" wrapText="1"/>
    </xf>
    <xf numFmtId="37" fontId="5" fillId="0" borderId="33" xfId="0" applyNumberFormat="1" applyFont="1" applyBorder="1" applyAlignment="1">
      <alignment horizontal="right" vertical="top" wrapText="1" indent="1"/>
    </xf>
    <xf numFmtId="164" fontId="5" fillId="0" borderId="33" xfId="0" applyNumberFormat="1" applyFont="1" applyBorder="1" applyAlignment="1">
      <alignment horizontal="right" vertical="top" wrapText="1" indent="1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right" vertical="top" wrapText="1" indent="1"/>
    </xf>
    <xf numFmtId="3" fontId="5" fillId="0" borderId="22" xfId="4" applyNumberFormat="1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4" applyNumberFormat="1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3" fontId="5" fillId="0" borderId="0" xfId="6" applyNumberFormat="1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Border="1" applyAlignment="1" applyProtection="1">
      <alignment horizontal="centerContinuous"/>
      <protection locked="0"/>
    </xf>
    <xf numFmtId="167" fontId="5" fillId="0" borderId="0" xfId="2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167" fontId="6" fillId="0" borderId="0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Continuous"/>
      <protection locked="0"/>
    </xf>
    <xf numFmtId="41" fontId="5" fillId="0" borderId="0" xfId="2" applyFont="1" applyAlignment="1" applyProtection="1">
      <alignment horizontal="centerContinuous"/>
      <protection locked="0"/>
    </xf>
    <xf numFmtId="14" fontId="5" fillId="0" borderId="0" xfId="0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4" fontId="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6" fillId="0" borderId="2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1" fontId="5" fillId="0" borderId="0" xfId="0" applyNumberFormat="1" applyFont="1"/>
    <xf numFmtId="169" fontId="5" fillId="0" borderId="0" xfId="0" applyNumberFormat="1" applyFont="1"/>
    <xf numFmtId="3" fontId="5" fillId="0" borderId="1" xfId="0" applyNumberFormat="1" applyFont="1" applyBorder="1" applyAlignment="1">
      <alignment horizontal="justify" wrapText="1"/>
    </xf>
    <xf numFmtId="166" fontId="5" fillId="0" borderId="1" xfId="1" applyNumberFormat="1" applyFont="1" applyBorder="1" applyAlignment="1" applyProtection="1">
      <alignment horizontal="justify" wrapText="1"/>
      <protection hidden="1"/>
    </xf>
    <xf numFmtId="0" fontId="5" fillId="0" borderId="38" xfId="0" applyFont="1" applyBorder="1" applyAlignment="1">
      <alignment horizontal="justify" wrapText="1"/>
    </xf>
    <xf numFmtId="0" fontId="5" fillId="0" borderId="38" xfId="0" applyFont="1" applyBorder="1" applyAlignment="1">
      <alignment horizontal="center" wrapText="1"/>
    </xf>
    <xf numFmtId="0" fontId="5" fillId="0" borderId="9" xfId="0" applyFont="1" applyBorder="1" applyAlignment="1">
      <alignment horizontal="justify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justify"/>
    </xf>
    <xf numFmtId="166" fontId="12" fillId="0" borderId="0" xfId="1" applyNumberFormat="1" applyFont="1" applyAlignment="1">
      <alignment horizontal="centerContinuous"/>
    </xf>
    <xf numFmtId="166" fontId="5" fillId="0" borderId="0" xfId="1" applyNumberFormat="1" applyFont="1" applyAlignment="1">
      <alignment horizontal="centerContinuous"/>
    </xf>
    <xf numFmtId="0" fontId="6" fillId="0" borderId="0" xfId="0" applyFont="1" applyAlignment="1">
      <alignment horizontal="center" vertical="top"/>
    </xf>
    <xf numFmtId="167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1" fontId="5" fillId="0" borderId="0" xfId="2" applyFont="1" applyAlignment="1" applyProtection="1">
      <alignment horizontal="center"/>
      <protection locked="0"/>
    </xf>
    <xf numFmtId="14" fontId="17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66" fontId="5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1" fontId="5" fillId="0" borderId="0" xfId="2" applyFont="1" applyFill="1" applyProtection="1">
      <protection locked="0"/>
    </xf>
    <xf numFmtId="41" fontId="5" fillId="0" borderId="0" xfId="2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8" applyFont="1" applyProtection="1">
      <protection locked="0"/>
    </xf>
    <xf numFmtId="0" fontId="11" fillId="0" borderId="0" xfId="0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Continuous"/>
      <protection locked="0"/>
    </xf>
    <xf numFmtId="0" fontId="19" fillId="0" borderId="0" xfId="0" applyFont="1" applyAlignment="1" applyProtection="1">
      <alignment horizontal="centerContinuous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41" fontId="5" fillId="0" borderId="0" xfId="2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Continuous"/>
      <protection hidden="1"/>
    </xf>
    <xf numFmtId="49" fontId="5" fillId="0" borderId="0" xfId="0" applyNumberFormat="1" applyFont="1" applyProtection="1">
      <protection locked="0"/>
    </xf>
    <xf numFmtId="41" fontId="12" fillId="0" borderId="0" xfId="2" applyFont="1" applyFill="1" applyAlignment="1" applyProtection="1">
      <alignment horizontal="center"/>
      <protection locked="0"/>
    </xf>
    <xf numFmtId="41" fontId="5" fillId="0" borderId="0" xfId="2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hidden="1"/>
    </xf>
    <xf numFmtId="41" fontId="16" fillId="0" borderId="0" xfId="2" applyFont="1" applyFill="1" applyAlignment="1" applyProtection="1">
      <alignment horizontal="center"/>
      <protection locked="0"/>
    </xf>
    <xf numFmtId="41" fontId="6" fillId="5" borderId="0" xfId="2" applyFont="1" applyFill="1" applyBorder="1" applyAlignment="1" applyProtection="1">
      <alignment horizontal="center" vertical="center" wrapText="1"/>
      <protection locked="0"/>
    </xf>
    <xf numFmtId="1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1" fontId="5" fillId="2" borderId="4" xfId="2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41" fontId="6" fillId="5" borderId="0" xfId="2" applyFont="1" applyFill="1" applyBorder="1" applyAlignment="1" applyProtection="1">
      <alignment horizontal="center"/>
      <protection locked="0"/>
    </xf>
    <xf numFmtId="49" fontId="6" fillId="2" borderId="4" xfId="2" applyNumberFormat="1" applyFont="1" applyFill="1" applyBorder="1" applyAlignment="1" applyProtection="1">
      <alignment horizontal="center" vertical="center"/>
      <protection locked="0"/>
    </xf>
    <xf numFmtId="49" fontId="6" fillId="6" borderId="4" xfId="2" applyNumberFormat="1" applyFont="1" applyFill="1" applyBorder="1" applyAlignment="1" applyProtection="1">
      <alignment horizontal="center" vertical="center"/>
      <protection locked="0"/>
    </xf>
    <xf numFmtId="49" fontId="6" fillId="2" borderId="4" xfId="2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  <xf numFmtId="14" fontId="5" fillId="0" borderId="2" xfId="0" applyNumberFormat="1" applyFont="1" applyBorder="1" applyProtection="1">
      <protection locked="0"/>
    </xf>
    <xf numFmtId="41" fontId="23" fillId="0" borderId="2" xfId="2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1" fontId="5" fillId="0" borderId="2" xfId="2" applyFont="1" applyFill="1" applyBorder="1" applyProtection="1">
      <protection locked="0"/>
    </xf>
    <xf numFmtId="1" fontId="5" fillId="5" borderId="0" xfId="2" applyNumberFormat="1" applyFont="1" applyFill="1" applyBorder="1" applyProtection="1">
      <protection locked="0"/>
    </xf>
    <xf numFmtId="14" fontId="5" fillId="0" borderId="2" xfId="2" applyNumberFormat="1" applyFont="1" applyBorder="1" applyAlignment="1" applyProtection="1">
      <alignment horizontal="center" vertical="center"/>
      <protection locked="0"/>
    </xf>
    <xf numFmtId="41" fontId="23" fillId="0" borderId="3" xfId="2" applyFont="1" applyBorder="1" applyAlignment="1" applyProtection="1">
      <alignment horizontal="center" vertical="center"/>
      <protection locked="0"/>
    </xf>
    <xf numFmtId="41" fontId="24" fillId="0" borderId="3" xfId="2" applyFont="1" applyBorder="1" applyAlignment="1" applyProtection="1">
      <alignment horizontal="center" vertical="center"/>
      <protection locked="0"/>
    </xf>
    <xf numFmtId="166" fontId="25" fillId="0" borderId="2" xfId="1" quotePrefix="1" applyNumberFormat="1" applyFont="1" applyFill="1" applyBorder="1" applyAlignment="1" applyProtection="1">
      <alignment horizontal="left" vertical="center"/>
      <protection hidden="1"/>
    </xf>
    <xf numFmtId="166" fontId="25" fillId="0" borderId="2" xfId="1" quotePrefix="1" applyNumberFormat="1" applyFont="1" applyFill="1" applyBorder="1" applyAlignment="1" applyProtection="1">
      <alignment horizontal="left"/>
      <protection hidden="1"/>
    </xf>
    <xf numFmtId="14" fontId="5" fillId="7" borderId="1" xfId="0" applyNumberFormat="1" applyFont="1" applyFill="1" applyBorder="1" applyAlignment="1" applyProtection="1">
      <alignment horizontal="center"/>
      <protection locked="0"/>
    </xf>
    <xf numFmtId="14" fontId="5" fillId="7" borderId="1" xfId="0" applyNumberFormat="1" applyFont="1" applyFill="1" applyBorder="1" applyProtection="1">
      <protection locked="0"/>
    </xf>
    <xf numFmtId="41" fontId="5" fillId="0" borderId="1" xfId="2" applyFont="1" applyFill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1" fontId="5" fillId="0" borderId="1" xfId="2" applyFont="1" applyFill="1" applyBorder="1" applyProtection="1">
      <protection locked="0"/>
    </xf>
    <xf numFmtId="41" fontId="5" fillId="5" borderId="0" xfId="2" applyFont="1" applyFill="1" applyBorder="1" applyProtection="1">
      <protection locked="0"/>
    </xf>
    <xf numFmtId="41" fontId="5" fillId="0" borderId="1" xfId="2" quotePrefix="1" applyFont="1" applyBorder="1" applyProtection="1">
      <protection locked="0"/>
    </xf>
    <xf numFmtId="0" fontId="24" fillId="0" borderId="1" xfId="2" quotePrefix="1" applyNumberFormat="1" applyFont="1" applyFill="1" applyBorder="1" applyAlignment="1" applyProtection="1">
      <alignment horizontal="left"/>
      <protection locked="0"/>
    </xf>
    <xf numFmtId="38" fontId="5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0" applyFont="1" applyBorder="1" applyAlignment="1" applyProtection="1">
      <alignment horizontal="left"/>
      <protection locked="0"/>
    </xf>
    <xf numFmtId="49" fontId="24" fillId="0" borderId="1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6" fontId="5" fillId="0" borderId="1" xfId="3" applyNumberFormat="1" applyFont="1" applyBorder="1"/>
    <xf numFmtId="49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166" fontId="5" fillId="0" borderId="1" xfId="3" applyNumberFormat="1" applyFont="1" applyFill="1" applyBorder="1"/>
    <xf numFmtId="14" fontId="5" fillId="0" borderId="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1" fontId="5" fillId="0" borderId="1" xfId="1" quotePrefix="1" applyNumberFormat="1" applyFont="1" applyFill="1" applyBorder="1" applyAlignment="1" applyProtection="1">
      <alignment horizontal="right"/>
      <protection hidden="1"/>
    </xf>
    <xf numFmtId="14" fontId="5" fillId="7" borderId="9" xfId="0" applyNumberFormat="1" applyFont="1" applyFill="1" applyBorder="1" applyAlignment="1" applyProtection="1">
      <alignment horizontal="center"/>
      <protection locked="0"/>
    </xf>
    <xf numFmtId="14" fontId="5" fillId="7" borderId="9" xfId="0" applyNumberFormat="1" applyFont="1" applyFill="1" applyBorder="1" applyProtection="1">
      <protection locked="0"/>
    </xf>
    <xf numFmtId="41" fontId="5" fillId="0" borderId="9" xfId="2" applyFont="1" applyFill="1" applyBorder="1" applyAlignment="1" applyProtection="1">
      <alignment horizontal="left"/>
      <protection locked="0"/>
    </xf>
    <xf numFmtId="49" fontId="24" fillId="0" borderId="9" xfId="0" applyNumberFormat="1" applyFont="1" applyBorder="1" applyAlignment="1" applyProtection="1">
      <alignment horizontal="left"/>
      <protection locked="0"/>
    </xf>
    <xf numFmtId="49" fontId="6" fillId="0" borderId="9" xfId="0" applyNumberFormat="1" applyFont="1" applyBorder="1" applyAlignment="1" applyProtection="1">
      <alignment horizontal="left"/>
      <protection locked="0"/>
    </xf>
    <xf numFmtId="49" fontId="5" fillId="0" borderId="9" xfId="0" applyNumberFormat="1" applyFont="1" applyBorder="1" applyAlignment="1" applyProtection="1">
      <alignment horizontal="center" wrapText="1"/>
      <protection locked="0"/>
    </xf>
    <xf numFmtId="41" fontId="5" fillId="0" borderId="9" xfId="2" applyFont="1" applyFill="1" applyBorder="1" applyProtection="1"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4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  <protection locked="0"/>
    </xf>
    <xf numFmtId="49" fontId="6" fillId="0" borderId="4" xfId="0" applyNumberFormat="1" applyFont="1" applyBorder="1" applyProtection="1">
      <protection locked="0"/>
    </xf>
    <xf numFmtId="41" fontId="6" fillId="0" borderId="4" xfId="2" applyFont="1" applyFill="1" applyBorder="1" applyProtection="1">
      <protection locked="0"/>
    </xf>
    <xf numFmtId="166" fontId="5" fillId="5" borderId="0" xfId="1" applyNumberFormat="1" applyFont="1" applyFill="1" applyBorder="1" applyProtection="1">
      <protection locked="0"/>
    </xf>
    <xf numFmtId="41" fontId="5" fillId="0" borderId="4" xfId="2" applyFont="1" applyBorder="1" applyAlignment="1" applyProtection="1">
      <alignment horizontal="center"/>
      <protection locked="0"/>
    </xf>
    <xf numFmtId="41" fontId="26" fillId="0" borderId="4" xfId="2" applyFont="1" applyBorder="1" applyAlignment="1" applyProtection="1">
      <alignment horizontal="center"/>
      <protection locked="0"/>
    </xf>
    <xf numFmtId="41" fontId="24" fillId="0" borderId="4" xfId="2" applyFont="1" applyFill="1" applyBorder="1" applyProtection="1">
      <protection locked="0"/>
    </xf>
    <xf numFmtId="41" fontId="26" fillId="0" borderId="4" xfId="2" applyFont="1" applyBorder="1" applyProtection="1">
      <protection hidden="1"/>
    </xf>
    <xf numFmtId="0" fontId="5" fillId="0" borderId="12" xfId="0" applyFont="1" applyBorder="1" applyAlignment="1" applyProtection="1">
      <alignment horizontal="center"/>
      <protection locked="0"/>
    </xf>
    <xf numFmtId="166" fontId="5" fillId="0" borderId="0" xfId="1" applyNumberFormat="1" applyFont="1" applyFill="1" applyBorder="1" applyProtection="1">
      <protection locked="0"/>
    </xf>
    <xf numFmtId="41" fontId="23" fillId="0" borderId="4" xfId="2" applyFont="1" applyBorder="1" applyAlignment="1" applyProtection="1">
      <alignment horizontal="center"/>
      <protection locked="0"/>
    </xf>
    <xf numFmtId="166" fontId="23" fillId="0" borderId="4" xfId="1" applyNumberFormat="1" applyFont="1" applyBorder="1" applyProtection="1">
      <protection hidden="1"/>
    </xf>
    <xf numFmtId="166" fontId="16" fillId="0" borderId="0" xfId="1" applyNumberFormat="1" applyFont="1" applyFill="1" applyBorder="1" applyAlignment="1" applyProtection="1">
      <protection locked="0"/>
    </xf>
    <xf numFmtId="41" fontId="5" fillId="0" borderId="0" xfId="2" applyFont="1" applyBorder="1" applyAlignment="1" applyProtection="1">
      <alignment horizontal="center"/>
      <protection locked="0"/>
    </xf>
    <xf numFmtId="41" fontId="5" fillId="0" borderId="0" xfId="2" applyFont="1" applyFill="1" applyBorder="1" applyProtection="1">
      <protection locked="0"/>
    </xf>
    <xf numFmtId="14" fontId="12" fillId="0" borderId="0" xfId="0" applyNumberFormat="1" applyFont="1" applyAlignment="1" applyProtection="1">
      <alignment horizontal="center"/>
      <protection locked="0"/>
    </xf>
    <xf numFmtId="166" fontId="5" fillId="0" borderId="0" xfId="1" applyNumberFormat="1" applyFont="1" applyFill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1" fontId="5" fillId="0" borderId="0" xfId="2" applyFont="1" applyFill="1" applyBorder="1" applyAlignment="1" applyProtection="1">
      <alignment horizontal="center"/>
      <protection locked="0"/>
    </xf>
    <xf numFmtId="41" fontId="6" fillId="0" borderId="0" xfId="2" applyFont="1" applyBorder="1" applyAlignment="1" applyProtection="1">
      <alignment horizontal="center"/>
      <protection locked="0"/>
    </xf>
    <xf numFmtId="41" fontId="5" fillId="0" borderId="0" xfId="2" applyFont="1" applyBorder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1" fontId="5" fillId="0" borderId="0" xfId="2" applyFont="1" applyFill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7" fillId="0" borderId="0" xfId="7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22" fillId="0" borderId="0" xfId="0" applyFont="1" applyAlignment="1" applyProtection="1">
      <alignment horizontal="centerContinuous" vertical="center"/>
      <protection locked="0"/>
    </xf>
    <xf numFmtId="14" fontId="6" fillId="0" borderId="0" xfId="0" applyNumberFormat="1" applyFont="1" applyAlignment="1" applyProtection="1">
      <alignment horizontal="centerContinuous"/>
      <protection locked="0"/>
    </xf>
    <xf numFmtId="0" fontId="22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Continuous" vertical="center"/>
      <protection locked="0"/>
    </xf>
    <xf numFmtId="0" fontId="22" fillId="3" borderId="4" xfId="0" applyFont="1" applyFill="1" applyBorder="1" applyAlignment="1" applyProtection="1">
      <alignment horizontal="centerContinuous"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41" fontId="5" fillId="0" borderId="0" xfId="0" applyNumberFormat="1" applyFont="1" applyProtection="1">
      <protection hidden="1"/>
    </xf>
    <xf numFmtId="0" fontId="6" fillId="0" borderId="2" xfId="0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41" fontId="6" fillId="10" borderId="2" xfId="1" quotePrefix="1" applyNumberFormat="1" applyFont="1" applyFill="1" applyBorder="1" applyAlignment="1" applyProtection="1">
      <alignment horizontal="right"/>
      <protection hidden="1"/>
    </xf>
    <xf numFmtId="41" fontId="6" fillId="0" borderId="2" xfId="1" quotePrefix="1" applyNumberFormat="1" applyFont="1" applyFill="1" applyBorder="1" applyAlignment="1" applyProtection="1">
      <alignment horizontal="right"/>
      <protection hidden="1"/>
    </xf>
    <xf numFmtId="41" fontId="5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41" fontId="24" fillId="10" borderId="1" xfId="1" quotePrefix="1" applyNumberFormat="1" applyFont="1" applyFill="1" applyBorder="1" applyAlignment="1" applyProtection="1">
      <alignment horizontal="right"/>
      <protection locked="0" hidden="1"/>
    </xf>
    <xf numFmtId="41" fontId="24" fillId="0" borderId="1" xfId="1" quotePrefix="1" applyNumberFormat="1" applyFont="1" applyFill="1" applyBorder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left"/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hidden="1"/>
    </xf>
    <xf numFmtId="41" fontId="6" fillId="0" borderId="1" xfId="1" quotePrefix="1" applyNumberFormat="1" applyFont="1" applyFill="1" applyBorder="1" applyAlignment="1" applyProtection="1">
      <alignment horizontal="right"/>
      <protection hidden="1"/>
    </xf>
    <xf numFmtId="41" fontId="5" fillId="10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applyNumberFormat="1" applyFont="1" applyFill="1" applyBorder="1" applyAlignment="1" applyProtection="1">
      <alignment horizontal="right"/>
      <protection hidden="1"/>
    </xf>
    <xf numFmtId="41" fontId="6" fillId="0" borderId="1" xfId="1" applyNumberFormat="1" applyFont="1" applyFill="1" applyBorder="1" applyAlignment="1" applyProtection="1">
      <alignment horizontal="right"/>
      <protection hidden="1"/>
    </xf>
    <xf numFmtId="166" fontId="5" fillId="0" borderId="0" xfId="0" applyNumberFormat="1" applyFont="1" applyProtection="1">
      <protection locked="0"/>
    </xf>
    <xf numFmtId="41" fontId="24" fillId="7" borderId="1" xfId="1" quotePrefix="1" applyNumberFormat="1" applyFont="1" applyFill="1" applyBorder="1" applyAlignment="1" applyProtection="1">
      <alignment horizontal="right"/>
      <protection hidden="1"/>
    </xf>
    <xf numFmtId="41" fontId="6" fillId="10" borderId="1" xfId="1" quotePrefix="1" applyNumberFormat="1" applyFont="1" applyFill="1" applyBorder="1" applyAlignment="1" applyProtection="1">
      <alignment horizontal="right"/>
      <protection locked="0" hidden="1"/>
    </xf>
    <xf numFmtId="171" fontId="5" fillId="0" borderId="0" xfId="1" applyNumberFormat="1" applyFont="1" applyFill="1" applyProtection="1">
      <protection locked="0"/>
    </xf>
    <xf numFmtId="41" fontId="6" fillId="10" borderId="1" xfId="1" quotePrefix="1" applyNumberFormat="1" applyFont="1" applyFill="1" applyBorder="1" applyAlignment="1" applyProtection="1">
      <alignment horizontal="right"/>
      <protection locked="0"/>
    </xf>
    <xf numFmtId="41" fontId="6" fillId="10" borderId="1" xfId="1" applyNumberFormat="1" applyFont="1" applyFill="1" applyBorder="1" applyAlignment="1" applyProtection="1">
      <alignment horizontal="right"/>
      <protection locked="0"/>
    </xf>
    <xf numFmtId="166" fontId="6" fillId="0" borderId="1" xfId="1" applyNumberFormat="1" applyFont="1" applyFill="1" applyBorder="1" applyAlignment="1" applyProtection="1">
      <alignment horizontal="right"/>
      <protection hidden="1"/>
    </xf>
    <xf numFmtId="41" fontId="24" fillId="10" borderId="1" xfId="1" quotePrefix="1" applyNumberFormat="1" applyFont="1" applyFill="1" applyBorder="1" applyAlignment="1" applyProtection="1">
      <alignment horizontal="right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14" fontId="8" fillId="0" borderId="1" xfId="2" applyNumberFormat="1" applyFont="1" applyFill="1" applyBorder="1" applyAlignment="1" applyProtection="1">
      <alignment horizontal="left"/>
      <protection locked="0"/>
    </xf>
    <xf numFmtId="41" fontId="24" fillId="10" borderId="1" xfId="1" applyNumberFormat="1" applyFont="1" applyFill="1" applyBorder="1" applyAlignment="1" applyProtection="1">
      <alignment horizontal="right"/>
      <protection locked="0"/>
    </xf>
    <xf numFmtId="0" fontId="24" fillId="10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41" fontId="8" fillId="0" borderId="1" xfId="1" quotePrefix="1" applyNumberFormat="1" applyFont="1" applyFill="1" applyBorder="1" applyAlignment="1" applyProtection="1">
      <alignment horizontal="right"/>
      <protection hidden="1"/>
    </xf>
    <xf numFmtId="49" fontId="5" fillId="10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41" fontId="8" fillId="10" borderId="1" xfId="1" quotePrefix="1" applyNumberFormat="1" applyFont="1" applyFill="1" applyBorder="1" applyAlignment="1" applyProtection="1">
      <alignment horizontal="right"/>
      <protection locked="0" hidden="1"/>
    </xf>
    <xf numFmtId="43" fontId="5" fillId="0" borderId="0" xfId="0" applyNumberFormat="1" applyFont="1" applyProtection="1">
      <protection locked="0"/>
    </xf>
    <xf numFmtId="41" fontId="8" fillId="10" borderId="1" xfId="1" applyNumberFormat="1" applyFont="1" applyFill="1" applyBorder="1" applyAlignment="1" applyProtection="1">
      <alignment horizontal="right"/>
      <protection locked="0"/>
    </xf>
    <xf numFmtId="43" fontId="5" fillId="0" borderId="0" xfId="1" applyFont="1" applyProtection="1">
      <protection locked="0"/>
    </xf>
    <xf numFmtId="170" fontId="5" fillId="0" borderId="0" xfId="0" applyNumberFormat="1" applyFont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41" fontId="6" fillId="10" borderId="9" xfId="1" applyNumberFormat="1" applyFont="1" applyFill="1" applyBorder="1" applyAlignment="1" applyProtection="1">
      <alignment horizontal="right"/>
      <protection locked="0"/>
    </xf>
    <xf numFmtId="41" fontId="6" fillId="0" borderId="9" xfId="1" quotePrefix="1" applyNumberFormat="1" applyFont="1" applyFill="1" applyBorder="1" applyAlignment="1" applyProtection="1">
      <alignment horizontal="right"/>
      <protection hidden="1"/>
    </xf>
    <xf numFmtId="49" fontId="6" fillId="0" borderId="4" xfId="0" applyNumberFormat="1" applyFont="1" applyBorder="1" applyAlignment="1" applyProtection="1">
      <alignment horizontal="left"/>
      <protection locked="0"/>
    </xf>
    <xf numFmtId="41" fontId="6" fillId="0" borderId="4" xfId="1" applyNumberFormat="1" applyFont="1" applyFill="1" applyBorder="1" applyAlignment="1" applyProtection="1">
      <alignment horizontal="right"/>
      <protection hidden="1"/>
    </xf>
    <xf numFmtId="41" fontId="24" fillId="0" borderId="0" xfId="1" quotePrefix="1" applyNumberFormat="1" applyFont="1" applyFill="1" applyBorder="1" applyAlignment="1" applyProtection="1">
      <alignment horizontal="right"/>
      <protection locked="0" hidden="1"/>
    </xf>
    <xf numFmtId="41" fontId="22" fillId="0" borderId="0" xfId="2" applyFont="1" applyBorder="1" applyProtection="1">
      <protection locked="0"/>
    </xf>
    <xf numFmtId="0" fontId="6" fillId="0" borderId="0" xfId="0" applyFont="1" applyProtection="1">
      <protection locked="0"/>
    </xf>
    <xf numFmtId="41" fontId="21" fillId="0" borderId="0" xfId="2" applyFont="1" applyBorder="1" applyProtection="1">
      <protection locked="0"/>
    </xf>
    <xf numFmtId="3" fontId="22" fillId="0" borderId="0" xfId="0" applyNumberFormat="1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6" fontId="5" fillId="0" borderId="1" xfId="1" applyNumberFormat="1" applyFont="1" applyBorder="1" applyAlignment="1" applyProtection="1">
      <alignment horizontal="justify" wrapText="1"/>
      <protection locked="0"/>
    </xf>
    <xf numFmtId="0" fontId="5" fillId="0" borderId="1" xfId="0" applyFont="1" applyBorder="1" applyAlignment="1" applyProtection="1">
      <alignment horizontal="justify" wrapText="1"/>
      <protection locked="0"/>
    </xf>
    <xf numFmtId="166" fontId="5" fillId="0" borderId="1" xfId="25" applyNumberFormat="1" applyFont="1" applyBorder="1" applyAlignment="1" applyProtection="1">
      <alignment horizontal="justify" wrapText="1"/>
      <protection hidden="1"/>
    </xf>
    <xf numFmtId="0" fontId="16" fillId="0" borderId="1" xfId="0" applyFont="1" applyBorder="1" applyAlignment="1" applyProtection="1">
      <alignment horizontal="justify" wrapText="1"/>
      <protection locked="0"/>
    </xf>
    <xf numFmtId="49" fontId="16" fillId="0" borderId="1" xfId="0" applyNumberFormat="1" applyFont="1" applyBorder="1" applyAlignment="1" applyProtection="1">
      <alignment horizontal="center" wrapText="1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hidden="1"/>
    </xf>
    <xf numFmtId="166" fontId="6" fillId="0" borderId="1" xfId="25" applyNumberFormat="1" applyFont="1" applyBorder="1" applyAlignment="1" applyProtection="1">
      <alignment horizontal="justify" wrapText="1"/>
      <protection hidden="1"/>
    </xf>
    <xf numFmtId="49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166" fontId="6" fillId="0" borderId="1" xfId="1" applyNumberFormat="1" applyFont="1" applyBorder="1" applyAlignment="1" applyProtection="1">
      <alignment horizontal="justify" wrapText="1"/>
      <protection locked="0"/>
    </xf>
    <xf numFmtId="166" fontId="6" fillId="0" borderId="1" xfId="25" applyNumberFormat="1" applyFont="1" applyBorder="1" applyAlignment="1" applyProtection="1">
      <alignment horizontal="justify" wrapText="1"/>
      <protection locked="0"/>
    </xf>
    <xf numFmtId="0" fontId="6" fillId="0" borderId="9" xfId="0" applyFont="1" applyBorder="1" applyAlignment="1" applyProtection="1">
      <alignment horizontal="justify" wrapText="1"/>
      <protection locked="0"/>
    </xf>
    <xf numFmtId="49" fontId="6" fillId="0" borderId="9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6" fontId="6" fillId="0" borderId="9" xfId="1" applyNumberFormat="1" applyFont="1" applyBorder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Continuous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Continuous" wrapText="1"/>
      <protection locked="0"/>
    </xf>
    <xf numFmtId="14" fontId="29" fillId="7" borderId="1" xfId="0" applyNumberFormat="1" applyFont="1" applyFill="1" applyBorder="1" applyAlignment="1" applyProtection="1">
      <alignment horizontal="center"/>
      <protection locked="0"/>
    </xf>
    <xf numFmtId="14" fontId="29" fillId="7" borderId="1" xfId="0" applyNumberFormat="1" applyFont="1" applyFill="1" applyBorder="1" applyProtection="1">
      <protection locked="0"/>
    </xf>
    <xf numFmtId="41" fontId="5" fillId="10" borderId="1" xfId="1" quotePrefix="1" applyNumberFormat="1" applyFont="1" applyFill="1" applyBorder="1" applyAlignment="1" applyProtection="1">
      <alignment horizontal="right"/>
      <protection locked="0" hidden="1"/>
    </xf>
    <xf numFmtId="14" fontId="30" fillId="7" borderId="1" xfId="0" applyNumberFormat="1" applyFont="1" applyFill="1" applyBorder="1" applyProtection="1">
      <protection locked="0"/>
    </xf>
    <xf numFmtId="14" fontId="30" fillId="7" borderId="1" xfId="0" applyNumberFormat="1" applyFont="1" applyFill="1" applyBorder="1" applyAlignment="1" applyProtection="1">
      <alignment horizontal="center"/>
      <protection locked="0"/>
    </xf>
    <xf numFmtId="41" fontId="6" fillId="0" borderId="1" xfId="1" quotePrefix="1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left"/>
      <protection locked="0"/>
    </xf>
    <xf numFmtId="166" fontId="5" fillId="0" borderId="9" xfId="1" applyNumberFormat="1" applyFont="1" applyBorder="1" applyAlignment="1" applyProtection="1">
      <alignment horizontal="justify" wrapText="1"/>
      <protection hidden="1"/>
    </xf>
    <xf numFmtId="49" fontId="29" fillId="0" borderId="1" xfId="0" applyNumberFormat="1" applyFont="1" applyBorder="1" applyAlignment="1" applyProtection="1">
      <alignment horizontal="center" wrapText="1"/>
      <protection locked="0"/>
    </xf>
    <xf numFmtId="166" fontId="5" fillId="0" borderId="0" xfId="0" applyNumberFormat="1" applyFont="1"/>
    <xf numFmtId="0" fontId="31" fillId="0" borderId="0" xfId="0" applyFont="1"/>
    <xf numFmtId="0" fontId="32" fillId="0" borderId="0" xfId="0" applyFont="1"/>
    <xf numFmtId="0" fontId="6" fillId="0" borderId="0" xfId="0" applyFont="1" applyAlignment="1">
      <alignment horizontal="centerContinuous"/>
    </xf>
    <xf numFmtId="0" fontId="32" fillId="0" borderId="7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41" xfId="0" quotePrefix="1" applyFont="1" applyBorder="1" applyAlignment="1">
      <alignment horizontal="center" vertical="center" wrapText="1"/>
    </xf>
    <xf numFmtId="0" fontId="32" fillId="0" borderId="6" xfId="0" quotePrefix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justify" vertical="center" wrapText="1"/>
    </xf>
    <xf numFmtId="3" fontId="32" fillId="0" borderId="0" xfId="0" applyNumberFormat="1" applyFont="1" applyAlignment="1">
      <alignment horizontal="right" vertical="center" wrapText="1"/>
    </xf>
    <xf numFmtId="3" fontId="32" fillId="0" borderId="11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vertical="center" wrapText="1"/>
    </xf>
    <xf numFmtId="0" fontId="33" fillId="0" borderId="15" xfId="0" applyFont="1" applyBorder="1" applyAlignment="1">
      <alignment horizontal="justify" vertical="center" wrapText="1"/>
    </xf>
    <xf numFmtId="3" fontId="33" fillId="0" borderId="10" xfId="0" applyNumberFormat="1" applyFont="1" applyBorder="1" applyAlignment="1">
      <alignment horizontal="right" vertical="center" wrapText="1"/>
    </xf>
    <xf numFmtId="3" fontId="33" fillId="0" borderId="16" xfId="0" applyNumberFormat="1" applyFont="1" applyBorder="1" applyAlignment="1">
      <alignment horizontal="right" vertical="center" wrapText="1"/>
    </xf>
    <xf numFmtId="0" fontId="33" fillId="0" borderId="0" xfId="0" applyFont="1" applyAlignment="1">
      <alignment horizontal="justify"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0" xfId="0" applyNumberFormat="1" applyFont="1" applyAlignment="1">
      <alignment horizontal="centerContinuous" vertical="center" wrapText="1"/>
    </xf>
    <xf numFmtId="3" fontId="33" fillId="0" borderId="11" xfId="0" applyNumberFormat="1" applyFont="1" applyBorder="1" applyAlignment="1">
      <alignment horizontal="right" vertical="center" wrapText="1"/>
    </xf>
    <xf numFmtId="49" fontId="30" fillId="0" borderId="1" xfId="0" applyNumberFormat="1" applyFont="1" applyBorder="1" applyAlignment="1" applyProtection="1">
      <alignment horizontal="left"/>
      <protection locked="0"/>
    </xf>
    <xf numFmtId="0" fontId="30" fillId="0" borderId="1" xfId="0" applyFont="1" applyBorder="1" applyAlignment="1" applyProtection="1">
      <alignment horizontal="left"/>
      <protection locked="0"/>
    </xf>
    <xf numFmtId="49" fontId="30" fillId="0" borderId="1" xfId="0" applyNumberFormat="1" applyFont="1" applyBorder="1" applyAlignment="1" applyProtection="1">
      <alignment horizontal="center" wrapText="1"/>
      <protection locked="0"/>
    </xf>
    <xf numFmtId="49" fontId="30" fillId="0" borderId="1" xfId="0" applyNumberFormat="1" applyFont="1" applyBorder="1" applyAlignment="1" applyProtection="1">
      <alignment horizontal="center"/>
      <protection locked="0"/>
    </xf>
    <xf numFmtId="166" fontId="30" fillId="0" borderId="1" xfId="3" applyNumberFormat="1" applyFont="1" applyBorder="1"/>
    <xf numFmtId="14" fontId="31" fillId="0" borderId="0" xfId="0" quotePrefix="1" applyNumberFormat="1" applyFont="1" applyAlignment="1">
      <alignment horizontal="left"/>
    </xf>
    <xf numFmtId="0" fontId="5" fillId="0" borderId="10" xfId="0" applyFont="1" applyBorder="1"/>
    <xf numFmtId="41" fontId="6" fillId="0" borderId="0" xfId="2" applyFont="1" applyFill="1" applyAlignment="1" applyProtection="1">
      <alignment horizontal="center"/>
      <protection locked="0"/>
    </xf>
    <xf numFmtId="41" fontId="6" fillId="0" borderId="0" xfId="2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49" fontId="5" fillId="0" borderId="9" xfId="0" applyNumberFormat="1" applyFont="1" applyBorder="1" applyAlignment="1" applyProtection="1">
      <alignment horizontal="center"/>
      <protection locked="0"/>
    </xf>
    <xf numFmtId="2" fontId="5" fillId="0" borderId="1" xfId="2" quotePrefix="1" applyNumberFormat="1" applyFont="1" applyBorder="1" applyAlignment="1" applyProtection="1">
      <alignment horizontal="center"/>
      <protection locked="0"/>
    </xf>
    <xf numFmtId="0" fontId="34" fillId="0" borderId="0" xfId="0" applyFont="1"/>
    <xf numFmtId="0" fontId="5" fillId="0" borderId="0" xfId="0" applyFont="1" applyAlignment="1">
      <alignment horizontal="left" vertical="center" indent="3"/>
    </xf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2" fontId="8" fillId="0" borderId="0" xfId="1" applyNumberFormat="1" applyFont="1" applyBorder="1"/>
    <xf numFmtId="172" fontId="5" fillId="0" borderId="0" xfId="1" applyNumberFormat="1" applyFont="1" applyBorder="1"/>
    <xf numFmtId="172" fontId="8" fillId="0" borderId="10" xfId="1" applyNumberFormat="1" applyFont="1" applyBorder="1"/>
    <xf numFmtId="172" fontId="5" fillId="0" borderId="10" xfId="1" applyNumberFormat="1" applyFont="1" applyBorder="1"/>
    <xf numFmtId="0" fontId="6" fillId="0" borderId="0" xfId="0" applyFont="1"/>
    <xf numFmtId="0" fontId="8" fillId="0" borderId="0" xfId="0" applyFont="1"/>
    <xf numFmtId="172" fontId="6" fillId="0" borderId="0" xfId="1" applyNumberFormat="1" applyFont="1"/>
    <xf numFmtId="172" fontId="8" fillId="0" borderId="0" xfId="1" applyNumberFormat="1" applyFont="1"/>
    <xf numFmtId="172" fontId="5" fillId="0" borderId="0" xfId="1" applyNumberFormat="1" applyFont="1"/>
    <xf numFmtId="41" fontId="30" fillId="0" borderId="1" xfId="2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41" fontId="5" fillId="2" borderId="7" xfId="2" applyFont="1" applyFill="1" applyBorder="1" applyAlignment="1" applyProtection="1">
      <alignment horizontal="center" vertical="center" wrapText="1"/>
      <protection locked="0"/>
    </xf>
    <xf numFmtId="41" fontId="5" fillId="2" borderId="6" xfId="2" applyFont="1" applyFill="1" applyBorder="1" applyAlignment="1" applyProtection="1">
      <alignment horizontal="center" vertical="center" wrapText="1"/>
      <protection locked="0"/>
    </xf>
    <xf numFmtId="41" fontId="5" fillId="2" borderId="29" xfId="2" applyFont="1" applyFill="1" applyBorder="1" applyAlignment="1" applyProtection="1">
      <alignment horizontal="center" vertical="center" wrapText="1"/>
      <protection locked="0"/>
    </xf>
    <xf numFmtId="41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41" fontId="5" fillId="4" borderId="12" xfId="2" applyFont="1" applyFill="1" applyBorder="1" applyAlignment="1" applyProtection="1">
      <alignment horizontal="center" vertical="center" wrapText="1"/>
      <protection locked="0"/>
    </xf>
    <xf numFmtId="41" fontId="5" fillId="4" borderId="13" xfId="2" applyFont="1" applyFill="1" applyBorder="1" applyAlignment="1" applyProtection="1">
      <alignment horizontal="center" vertical="center" wrapText="1"/>
      <protection locked="0"/>
    </xf>
    <xf numFmtId="49" fontId="5" fillId="4" borderId="12" xfId="2" applyNumberFormat="1" applyFont="1" applyFill="1" applyBorder="1" applyAlignment="1" applyProtection="1">
      <alignment horizontal="center" vertical="center" wrapText="1"/>
      <protection locked="0"/>
    </xf>
    <xf numFmtId="49" fontId="5" fillId="4" borderId="13" xfId="2" applyNumberFormat="1" applyFont="1" applyFill="1" applyBorder="1" applyAlignment="1" applyProtection="1">
      <alignment horizontal="center" vertical="center" wrapText="1"/>
      <protection locked="0"/>
    </xf>
    <xf numFmtId="14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29" xfId="2" applyFont="1" applyFill="1" applyBorder="1" applyAlignment="1" applyProtection="1">
      <alignment horizontal="center" vertical="center" wrapText="1"/>
      <protection locked="0"/>
    </xf>
    <xf numFmtId="41" fontId="5" fillId="4" borderId="8" xfId="2" applyFont="1" applyFill="1" applyBorder="1" applyAlignment="1" applyProtection="1">
      <alignment horizontal="center" vertical="center" wrapText="1"/>
      <protection locked="0"/>
    </xf>
    <xf numFmtId="49" fontId="5" fillId="8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8" borderId="8" xfId="0" applyNumberFormat="1" applyFont="1" applyFill="1" applyBorder="1" applyAlignment="1" applyProtection="1">
      <alignment horizontal="center" vertical="center" wrapText="1"/>
      <protection locked="0"/>
    </xf>
    <xf numFmtId="41" fontId="5" fillId="4" borderId="7" xfId="2" applyFont="1" applyFill="1" applyBorder="1" applyAlignment="1" applyProtection="1">
      <alignment horizontal="center" vertical="center" wrapText="1"/>
      <protection locked="0"/>
    </xf>
    <xf numFmtId="41" fontId="5" fillId="4" borderId="6" xfId="2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26">
    <cellStyle name="Comma" xfId="1" builtinId="3"/>
    <cellStyle name="Comma [0]" xfId="2" builtinId="6"/>
    <cellStyle name="Comma [0] 2" xfId="19" xr:uid="{00000000-0005-0000-0000-000002000000}"/>
    <cellStyle name="Comma 18" xfId="3" xr:uid="{00000000-0005-0000-0000-000003000000}"/>
    <cellStyle name="Comma 18 2" xfId="20" xr:uid="{00000000-0005-0000-0000-000004000000}"/>
    <cellStyle name="Comma 18_KQKD" xfId="17" xr:uid="{00000000-0005-0000-0000-000005000000}"/>
    <cellStyle name="Comma 2" xfId="4" xr:uid="{00000000-0005-0000-0000-000006000000}"/>
    <cellStyle name="Comma 2 2" xfId="21" xr:uid="{00000000-0005-0000-0000-000007000000}"/>
    <cellStyle name="Comma 2_KQKD" xfId="16" xr:uid="{00000000-0005-0000-0000-000008000000}"/>
    <cellStyle name="Comma 3" xfId="18" xr:uid="{00000000-0005-0000-0000-000009000000}"/>
    <cellStyle name="Comma 4" xfId="24" xr:uid="{00000000-0005-0000-0000-00000A000000}"/>
    <cellStyle name="Comma 5" xfId="22" xr:uid="{00000000-0005-0000-0000-00000B000000}"/>
    <cellStyle name="Comma 6" xfId="23" xr:uid="{00000000-0005-0000-0000-00000C000000}"/>
    <cellStyle name="Comma_LCTT" xfId="25" xr:uid="{00000000-0005-0000-0000-00000D000000}"/>
    <cellStyle name="Normal" xfId="0" builtinId="0"/>
    <cellStyle name="Normal 10" xfId="10" xr:uid="{00000000-0005-0000-0000-00000F000000}"/>
    <cellStyle name="Normal 2" xfId="5" xr:uid="{00000000-0005-0000-0000-000010000000}"/>
    <cellStyle name="Normal 3" xfId="6" xr:uid="{00000000-0005-0000-0000-000011000000}"/>
    <cellStyle name="Normal 4" xfId="11" xr:uid="{00000000-0005-0000-0000-000012000000}"/>
    <cellStyle name="Normal 5" xfId="14" xr:uid="{00000000-0005-0000-0000-000013000000}"/>
    <cellStyle name="Normal 6" xfId="12" xr:uid="{00000000-0005-0000-0000-000014000000}"/>
    <cellStyle name="Normal 7" xfId="9" xr:uid="{00000000-0005-0000-0000-000015000000}"/>
    <cellStyle name="Normal 8" xfId="13" xr:uid="{00000000-0005-0000-0000-000016000000}"/>
    <cellStyle name="Normal 9" xfId="15" xr:uid="{00000000-0005-0000-0000-000017000000}"/>
    <cellStyle name="Normal_BCTC_NH_Longson_T10_2010(1)" xfId="7" xr:uid="{00000000-0005-0000-0000-000018000000}"/>
    <cellStyle name="Normal_PHIẾU NHẬP KHO - XUẤT KHO" xfId="8" xr:uid="{00000000-0005-0000-0000-000019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20" dropStyle="combo" dx="20" fmlaLink="R4" fmlaRange="CDPS_taikhoan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</xdr:row>
          <xdr:rowOff>0</xdr:rowOff>
        </xdr:from>
        <xdr:to>
          <xdr:col>18</xdr:col>
          <xdr:colOff>104775</xdr:colOff>
          <xdr:row>5</xdr:row>
          <xdr:rowOff>0</xdr:rowOff>
        </xdr:to>
        <xdr:sp macro="" textlink="">
          <xdr:nvSpPr>
            <xdr:cNvPr id="33836" name="Drop Down 44" hidden="1">
              <a:extLst>
                <a:ext uri="{63B3BB69-23CF-44E3-9099-C40C66FF867C}">
                  <a14:compatExt spid="_x0000_s33836"/>
                </a:ext>
                <a:ext uri="{FF2B5EF4-FFF2-40B4-BE49-F238E27FC236}">
                  <a16:creationId xmlns:a16="http://schemas.microsoft.com/office/drawing/2014/main" id="{00000000-0008-0000-0400-00002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FFFF00"/>
  </sheetPr>
  <dimension ref="B1:E24"/>
  <sheetViews>
    <sheetView tabSelected="1" workbookViewId="0">
      <selection activeCell="G21" sqref="G21"/>
    </sheetView>
  </sheetViews>
  <sheetFormatPr defaultColWidth="9" defaultRowHeight="15.75"/>
  <cols>
    <col min="1" max="1" width="9" style="1"/>
    <col min="2" max="2" width="17.21875" style="1" customWidth="1"/>
    <col min="3" max="3" width="28.109375" style="1" customWidth="1"/>
    <col min="4" max="16384" width="9" style="1"/>
  </cols>
  <sheetData>
    <row r="1" spans="2:5" ht="26.25">
      <c r="B1" s="123" t="s">
        <v>260</v>
      </c>
      <c r="C1" s="86"/>
      <c r="D1" s="86"/>
      <c r="E1" s="86"/>
    </row>
    <row r="2" spans="2:5">
      <c r="B2" s="124" t="s">
        <v>266</v>
      </c>
      <c r="C2" s="325" t="s">
        <v>402</v>
      </c>
      <c r="D2" s="86"/>
      <c r="E2" s="86"/>
    </row>
    <row r="3" spans="2:5">
      <c r="B3" s="124" t="s">
        <v>194</v>
      </c>
      <c r="C3" s="326" t="s">
        <v>404</v>
      </c>
      <c r="D3" s="86"/>
      <c r="E3" s="86"/>
    </row>
    <row r="4" spans="2:5">
      <c r="B4" s="124"/>
      <c r="C4" s="125"/>
      <c r="D4" s="86"/>
      <c r="E4" s="86"/>
    </row>
    <row r="5" spans="2:5" ht="18.600000000000001" customHeight="1">
      <c r="B5" s="124" t="s">
        <v>254</v>
      </c>
      <c r="C5" s="125" t="s">
        <v>403</v>
      </c>
      <c r="D5" s="86"/>
      <c r="E5" s="86"/>
    </row>
    <row r="6" spans="2:5" ht="18.600000000000001" customHeight="1">
      <c r="B6" s="124" t="s">
        <v>261</v>
      </c>
      <c r="C6" s="349" t="s">
        <v>497</v>
      </c>
      <c r="D6" s="86"/>
      <c r="E6" s="86"/>
    </row>
    <row r="7" spans="2:5" ht="18.600000000000001" customHeight="1">
      <c r="B7" s="124"/>
      <c r="C7" s="125"/>
      <c r="D7" s="86"/>
      <c r="E7" s="86"/>
    </row>
    <row r="8" spans="2:5" ht="18.600000000000001" customHeight="1">
      <c r="B8" s="124" t="s">
        <v>255</v>
      </c>
      <c r="C8" s="125" t="s">
        <v>371</v>
      </c>
      <c r="D8" s="86"/>
      <c r="E8" s="86"/>
    </row>
    <row r="9" spans="2:5" ht="18.600000000000001" customHeight="1">
      <c r="B9" s="124" t="s">
        <v>256</v>
      </c>
      <c r="C9" s="125" t="s">
        <v>498</v>
      </c>
      <c r="D9" s="86"/>
      <c r="E9" s="86"/>
    </row>
    <row r="10" spans="2:5" ht="18.600000000000001" customHeight="1">
      <c r="B10" s="124" t="s">
        <v>257</v>
      </c>
      <c r="C10" s="125" t="s">
        <v>267</v>
      </c>
      <c r="D10" s="86"/>
      <c r="E10" s="86"/>
    </row>
    <row r="11" spans="2:5" ht="18.600000000000001" customHeight="1">
      <c r="B11" s="124" t="s">
        <v>258</v>
      </c>
      <c r="C11" s="125"/>
      <c r="D11" s="86"/>
      <c r="E11" s="86"/>
    </row>
    <row r="12" spans="2:5" ht="18.600000000000001" customHeight="1">
      <c r="B12" s="124" t="s">
        <v>259</v>
      </c>
      <c r="C12" s="125"/>
      <c r="D12" s="86"/>
      <c r="E12" s="86"/>
    </row>
    <row r="13" spans="2:5" ht="18.600000000000001" customHeight="1">
      <c r="D13" s="86"/>
      <c r="E13" s="86"/>
    </row>
    <row r="14" spans="2:5">
      <c r="B14" s="86"/>
      <c r="C14" s="86"/>
      <c r="D14" s="86"/>
      <c r="E14" s="86"/>
    </row>
    <row r="15" spans="2:5">
      <c r="B15" s="86"/>
      <c r="C15" s="86"/>
      <c r="D15" s="86"/>
      <c r="E15" s="86"/>
    </row>
    <row r="16" spans="2:5">
      <c r="B16" s="86"/>
      <c r="C16" s="86"/>
      <c r="D16" s="86"/>
      <c r="E16" s="86"/>
    </row>
    <row r="17" spans="2:5">
      <c r="B17" s="86"/>
      <c r="C17" s="86"/>
      <c r="D17" s="86"/>
      <c r="E17" s="86"/>
    </row>
    <row r="18" spans="2:5">
      <c r="B18" s="86"/>
      <c r="C18" s="86"/>
      <c r="D18" s="86"/>
      <c r="E18" s="86"/>
    </row>
    <row r="19" spans="2:5">
      <c r="B19" s="86"/>
      <c r="C19" s="86"/>
      <c r="D19" s="86"/>
      <c r="E19" s="86"/>
    </row>
    <row r="20" spans="2:5">
      <c r="B20" s="86"/>
      <c r="C20" s="86"/>
      <c r="D20" s="86"/>
      <c r="E20" s="86"/>
    </row>
    <row r="21" spans="2:5">
      <c r="B21" s="86"/>
      <c r="C21" s="86"/>
      <c r="D21" s="86"/>
      <c r="E21" s="86"/>
    </row>
    <row r="22" spans="2:5">
      <c r="B22" s="86"/>
      <c r="C22" s="86"/>
      <c r="D22" s="86"/>
      <c r="E22" s="86"/>
    </row>
    <row r="23" spans="2:5">
      <c r="B23" s="86"/>
      <c r="C23" s="86"/>
      <c r="D23" s="86"/>
      <c r="E23" s="86"/>
    </row>
    <row r="24" spans="2:5">
      <c r="B24" s="86"/>
      <c r="C24" s="86"/>
      <c r="D24" s="86"/>
      <c r="E24" s="8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zoomScale="145" zoomScaleNormal="145" workbookViewId="0">
      <selection activeCell="C1" sqref="C1"/>
    </sheetView>
  </sheetViews>
  <sheetFormatPr defaultColWidth="8.77734375" defaultRowHeight="15.75"/>
  <cols>
    <col min="1" max="1" width="8.77734375" style="1"/>
    <col min="2" max="2" width="54.77734375" style="1" customWidth="1"/>
    <col min="3" max="3" width="11.77734375" style="1" customWidth="1"/>
    <col min="4" max="16384" width="8.77734375" style="1"/>
  </cols>
  <sheetData>
    <row r="1" spans="1:3" ht="19.899999999999999" customHeight="1">
      <c r="B1" s="357" t="s">
        <v>543</v>
      </c>
    </row>
    <row r="2" spans="1:3" ht="19.149999999999999" customHeight="1">
      <c r="B2" s="2" t="s">
        <v>499</v>
      </c>
    </row>
    <row r="3" spans="1:3" ht="19.149999999999999" customHeight="1">
      <c r="B3" s="358" t="s">
        <v>544</v>
      </c>
      <c r="C3" s="215"/>
    </row>
    <row r="4" spans="1:3" ht="19.149999999999999" customHeight="1">
      <c r="B4" s="358" t="s">
        <v>540</v>
      </c>
      <c r="C4" s="215"/>
    </row>
    <row r="5" spans="1:3" ht="19.149999999999999" customHeight="1">
      <c r="B5" s="358" t="s">
        <v>541</v>
      </c>
      <c r="C5" s="215"/>
    </row>
    <row r="6" spans="1:3" ht="19.149999999999999" customHeight="1">
      <c r="B6" s="358" t="s">
        <v>501</v>
      </c>
      <c r="C6" s="215"/>
    </row>
    <row r="7" spans="1:3" ht="19.149999999999999" customHeight="1">
      <c r="B7" s="358" t="s">
        <v>500</v>
      </c>
      <c r="C7" s="215"/>
    </row>
    <row r="8" spans="1:3" ht="19.149999999999999" customHeight="1">
      <c r="B8" s="358" t="s">
        <v>529</v>
      </c>
      <c r="C8" s="215"/>
    </row>
    <row r="9" spans="1:3" ht="19.149999999999999" customHeight="1">
      <c r="B9" s="358" t="s">
        <v>502</v>
      </c>
      <c r="C9" s="215"/>
    </row>
    <row r="10" spans="1:3" ht="19.149999999999999" customHeight="1">
      <c r="C10" s="215"/>
    </row>
    <row r="11" spans="1:3" ht="19.149999999999999" customHeight="1">
      <c r="A11" s="1">
        <v>1</v>
      </c>
      <c r="B11" s="1" t="s">
        <v>503</v>
      </c>
      <c r="C11" s="215"/>
    </row>
    <row r="12" spans="1:3" ht="19.149999999999999" customHeight="1">
      <c r="A12" s="1">
        <v>2</v>
      </c>
      <c r="B12" s="1" t="s">
        <v>504</v>
      </c>
      <c r="C12" s="215"/>
    </row>
    <row r="13" spans="1:3" ht="19.149999999999999" customHeight="1">
      <c r="A13" s="1">
        <v>3</v>
      </c>
      <c r="B13" s="1" t="s">
        <v>542</v>
      </c>
      <c r="C13" s="215"/>
    </row>
    <row r="14" spans="1:3" ht="19.149999999999999" customHeight="1">
      <c r="A14" s="1">
        <v>4</v>
      </c>
      <c r="B14" s="1" t="s">
        <v>539</v>
      </c>
      <c r="C14" s="215"/>
    </row>
    <row r="15" spans="1:3" ht="19.149999999999999" customHeight="1">
      <c r="C15" s="215"/>
    </row>
    <row r="16" spans="1:3" ht="19.149999999999999" customHeight="1">
      <c r="C16" s="2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"/>
  <sheetViews>
    <sheetView zoomScaleNormal="100" workbookViewId="0">
      <selection activeCell="G5" sqref="G5"/>
    </sheetView>
  </sheetViews>
  <sheetFormatPr defaultColWidth="8.77734375" defaultRowHeight="15.75"/>
  <cols>
    <col min="1" max="1" width="22.77734375" style="1" customWidth="1"/>
    <col min="2" max="2" width="11" style="1" customWidth="1"/>
    <col min="3" max="3" width="8.77734375" style="1"/>
    <col min="4" max="4" width="16.44140625" style="1" customWidth="1"/>
    <col min="5" max="5" width="8.77734375" style="1"/>
    <col min="6" max="6" width="14" style="1" customWidth="1"/>
    <col min="7" max="7" width="8.77734375" style="1"/>
    <col min="8" max="8" width="14" style="1" customWidth="1"/>
    <col min="9" max="9" width="9.109375" style="1" customWidth="1"/>
    <col min="10" max="10" width="13.88671875" style="1" customWidth="1"/>
    <col min="11" max="16384" width="8.77734375" style="1"/>
  </cols>
  <sheetData>
    <row r="2" spans="1:10" ht="25.9" customHeight="1">
      <c r="A2" s="354" t="s">
        <v>446</v>
      </c>
      <c r="B2" s="354" t="s">
        <v>535</v>
      </c>
      <c r="C2" s="371" t="s">
        <v>438</v>
      </c>
      <c r="D2" s="371"/>
      <c r="E2" s="371" t="s">
        <v>439</v>
      </c>
      <c r="F2" s="371"/>
      <c r="G2" s="371" t="s">
        <v>440</v>
      </c>
      <c r="H2" s="371"/>
      <c r="I2" s="371" t="s">
        <v>441</v>
      </c>
      <c r="J2" s="371"/>
    </row>
    <row r="3" spans="1:10" ht="25.9" customHeight="1">
      <c r="A3" s="350"/>
      <c r="B3" s="350"/>
      <c r="C3" s="359" t="s">
        <v>445</v>
      </c>
      <c r="D3" s="360" t="s">
        <v>444</v>
      </c>
      <c r="E3" s="359" t="s">
        <v>445</v>
      </c>
      <c r="F3" s="360" t="s">
        <v>444</v>
      </c>
      <c r="G3" s="359" t="s">
        <v>445</v>
      </c>
      <c r="H3" s="360" t="s">
        <v>444</v>
      </c>
      <c r="I3" s="359" t="s">
        <v>445</v>
      </c>
      <c r="J3" s="360" t="s">
        <v>444</v>
      </c>
    </row>
    <row r="4" spans="1:10" ht="25.9" customHeight="1">
      <c r="A4" s="1" t="s">
        <v>442</v>
      </c>
      <c r="B4" s="354" t="s">
        <v>536</v>
      </c>
      <c r="C4" s="361">
        <v>3000</v>
      </c>
      <c r="D4" s="362">
        <f>C4*500000</f>
        <v>1500000000</v>
      </c>
      <c r="E4" s="361">
        <v>500</v>
      </c>
      <c r="F4" s="362">
        <f>E4*600000</f>
        <v>300000000</v>
      </c>
      <c r="G4" s="361">
        <v>2000</v>
      </c>
      <c r="H4" s="362">
        <f>D4/C4*G4</f>
        <v>1000000000</v>
      </c>
      <c r="I4" s="361">
        <f>C4+E4-G4</f>
        <v>1500</v>
      </c>
      <c r="J4" s="362">
        <f>D4+F4-H4</f>
        <v>800000000</v>
      </c>
    </row>
    <row r="5" spans="1:10" ht="25.9" customHeight="1">
      <c r="A5" s="350" t="s">
        <v>443</v>
      </c>
      <c r="B5" s="360" t="s">
        <v>536</v>
      </c>
      <c r="C5" s="363">
        <v>2000</v>
      </c>
      <c r="D5" s="364">
        <f>C5*400000</f>
        <v>800000000</v>
      </c>
      <c r="E5" s="363"/>
      <c r="F5" s="364"/>
      <c r="G5" s="363"/>
      <c r="H5" s="364"/>
      <c r="I5" s="363">
        <f>C5+E5-G5</f>
        <v>2000</v>
      </c>
      <c r="J5" s="364">
        <f>D5+F5-H5</f>
        <v>800000000</v>
      </c>
    </row>
    <row r="6" spans="1:10" ht="25.9" customHeight="1">
      <c r="A6" s="365" t="s">
        <v>447</v>
      </c>
      <c r="B6" s="365"/>
      <c r="C6" s="366"/>
      <c r="D6" s="367">
        <f>SUM(D4:D5)</f>
        <v>2300000000</v>
      </c>
      <c r="E6" s="368"/>
      <c r="F6" s="367">
        <f>SUM(F4:F5)</f>
        <v>300000000</v>
      </c>
      <c r="G6" s="368"/>
      <c r="H6" s="367">
        <f>SUM(H4:H5)</f>
        <v>1000000000</v>
      </c>
      <c r="I6" s="368"/>
      <c r="J6" s="367">
        <f>SUM(J4:J5)</f>
        <v>1600000000</v>
      </c>
    </row>
    <row r="7" spans="1:10" ht="19.149999999999999" customHeight="1">
      <c r="E7" s="369"/>
      <c r="F7" s="369"/>
      <c r="G7" s="369"/>
      <c r="H7" s="369"/>
      <c r="I7" s="369"/>
      <c r="J7" s="369"/>
    </row>
    <row r="8" spans="1:10" ht="19.149999999999999" customHeight="1"/>
  </sheetData>
  <mergeCells count="4"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3"/>
  <sheetViews>
    <sheetView topLeftCell="A28" zoomScale="115" zoomScaleNormal="115" workbookViewId="0">
      <selection activeCell="E18" sqref="E18"/>
    </sheetView>
  </sheetViews>
  <sheetFormatPr defaultColWidth="9" defaultRowHeight="15.75"/>
  <cols>
    <col min="1" max="1" width="9" style="1"/>
    <col min="2" max="2" width="11.77734375" style="1" customWidth="1"/>
    <col min="3" max="3" width="14" style="1" customWidth="1"/>
    <col min="4" max="4" width="14.44140625" style="1" customWidth="1"/>
    <col min="5" max="7" width="14" style="1" customWidth="1"/>
    <col min="8" max="8" width="11.33203125" style="1" customWidth="1"/>
    <col min="9" max="9" width="11.44140625" style="1" customWidth="1"/>
    <col min="10" max="16384" width="9" style="1"/>
  </cols>
  <sheetData>
    <row r="2" spans="2:8">
      <c r="B2" s="327" t="s">
        <v>422</v>
      </c>
      <c r="C2" s="7"/>
      <c r="D2" s="7"/>
      <c r="E2" s="7"/>
      <c r="F2" s="7"/>
      <c r="G2" s="7"/>
    </row>
    <row r="3" spans="2:8">
      <c r="B3" s="327"/>
      <c r="C3" s="7"/>
      <c r="D3" s="7"/>
      <c r="E3" s="7"/>
      <c r="F3" s="7"/>
      <c r="G3" s="7"/>
    </row>
    <row r="4" spans="2:8" ht="47.25">
      <c r="B4" s="328" t="s">
        <v>405</v>
      </c>
      <c r="C4" s="329" t="s">
        <v>421</v>
      </c>
      <c r="D4" s="329" t="s">
        <v>406</v>
      </c>
      <c r="E4" s="329" t="s">
        <v>407</v>
      </c>
      <c r="F4" s="329" t="s">
        <v>408</v>
      </c>
      <c r="G4" s="330" t="s">
        <v>409</v>
      </c>
    </row>
    <row r="5" spans="2:8">
      <c r="B5" s="328" t="s">
        <v>410</v>
      </c>
      <c r="C5" s="331" t="s">
        <v>411</v>
      </c>
      <c r="D5" s="331" t="s">
        <v>412</v>
      </c>
      <c r="E5" s="331" t="s">
        <v>413</v>
      </c>
      <c r="F5" s="331" t="s">
        <v>414</v>
      </c>
      <c r="G5" s="332" t="s">
        <v>415</v>
      </c>
    </row>
    <row r="6" spans="2:8">
      <c r="B6" s="333" t="s">
        <v>418</v>
      </c>
      <c r="C6" s="334"/>
      <c r="D6" s="334"/>
      <c r="E6" s="334"/>
      <c r="F6" s="334"/>
      <c r="G6" s="335"/>
    </row>
    <row r="7" spans="2:8">
      <c r="B7" s="333" t="s">
        <v>419</v>
      </c>
      <c r="C7" s="334">
        <v>70000000</v>
      </c>
      <c r="D7" s="334">
        <v>75000000</v>
      </c>
      <c r="E7" s="334">
        <f t="shared" ref="E7:E8" si="0">C7*10.5%</f>
        <v>7350000</v>
      </c>
      <c r="F7" s="336">
        <v>40000000</v>
      </c>
      <c r="G7" s="335">
        <f t="shared" ref="G7:G8" si="1">D7-E7-F7</f>
        <v>27650000</v>
      </c>
    </row>
    <row r="8" spans="2:8">
      <c r="B8" s="333" t="s">
        <v>420</v>
      </c>
      <c r="C8" s="334">
        <v>80000000</v>
      </c>
      <c r="D8" s="334">
        <v>85000000</v>
      </c>
      <c r="E8" s="334">
        <f t="shared" si="0"/>
        <v>8400000</v>
      </c>
      <c r="F8" s="336">
        <v>40000000</v>
      </c>
      <c r="G8" s="335">
        <f t="shared" si="1"/>
        <v>36600000</v>
      </c>
    </row>
    <row r="9" spans="2:8">
      <c r="B9" s="337" t="s">
        <v>416</v>
      </c>
      <c r="C9" s="338">
        <f>SUM(C6:C8)</f>
        <v>150000000</v>
      </c>
      <c r="D9" s="338">
        <f t="shared" ref="D9:G9" si="2">SUM(D6:D8)</f>
        <v>160000000</v>
      </c>
      <c r="E9" s="338">
        <f t="shared" si="2"/>
        <v>15750000</v>
      </c>
      <c r="F9" s="338">
        <f t="shared" si="2"/>
        <v>80000000</v>
      </c>
      <c r="G9" s="339">
        <f t="shared" si="2"/>
        <v>64250000</v>
      </c>
    </row>
    <row r="10" spans="2:8">
      <c r="B10" s="340"/>
      <c r="C10" s="341"/>
      <c r="D10" s="341"/>
      <c r="E10" s="341"/>
      <c r="F10" s="341"/>
      <c r="G10" s="341"/>
    </row>
    <row r="11" spans="2:8">
      <c r="B11" s="340"/>
      <c r="C11" s="341"/>
      <c r="D11" s="341"/>
      <c r="E11" s="341"/>
      <c r="F11" s="341"/>
      <c r="G11" s="341"/>
    </row>
    <row r="12" spans="2:8">
      <c r="B12" s="342" t="s">
        <v>423</v>
      </c>
      <c r="C12" s="342"/>
      <c r="D12" s="342"/>
      <c r="E12" s="342"/>
      <c r="F12" s="342"/>
      <c r="G12" s="342"/>
    </row>
    <row r="13" spans="2:8">
      <c r="C13" s="7"/>
      <c r="D13" s="7"/>
      <c r="E13" s="7"/>
      <c r="F13" s="7"/>
      <c r="G13" s="7"/>
    </row>
    <row r="14" spans="2:8" ht="31.5">
      <c r="B14" s="328" t="s">
        <v>405</v>
      </c>
      <c r="C14" s="329" t="s">
        <v>421</v>
      </c>
      <c r="D14" s="329" t="s">
        <v>468</v>
      </c>
      <c r="E14" s="329" t="s">
        <v>469</v>
      </c>
      <c r="F14" s="329" t="s">
        <v>470</v>
      </c>
      <c r="G14" s="329" t="s">
        <v>416</v>
      </c>
      <c r="H14" s="330" t="s">
        <v>471</v>
      </c>
    </row>
    <row r="15" spans="2:8">
      <c r="B15" s="328" t="s">
        <v>410</v>
      </c>
      <c r="C15" s="331" t="s">
        <v>411</v>
      </c>
      <c r="D15" s="331" t="s">
        <v>412</v>
      </c>
      <c r="E15" s="331" t="s">
        <v>413</v>
      </c>
      <c r="F15" s="331" t="s">
        <v>414</v>
      </c>
      <c r="G15" s="331" t="s">
        <v>417</v>
      </c>
      <c r="H15" s="332" t="s">
        <v>537</v>
      </c>
    </row>
    <row r="16" spans="2:8">
      <c r="B16" s="333" t="s">
        <v>418</v>
      </c>
      <c r="C16" s="334"/>
      <c r="D16" s="334"/>
      <c r="E16" s="334"/>
      <c r="F16" s="334"/>
      <c r="G16" s="341"/>
      <c r="H16" s="335"/>
    </row>
    <row r="17" spans="2:9">
      <c r="B17" s="333" t="s">
        <v>419</v>
      </c>
      <c r="C17" s="334">
        <f>C27</f>
        <v>70000000</v>
      </c>
      <c r="D17" s="334">
        <f>C17*17.5%</f>
        <v>12250000</v>
      </c>
      <c r="E17" s="334">
        <f>C17*3%</f>
        <v>2100000</v>
      </c>
      <c r="F17" s="334">
        <f>C17*1%</f>
        <v>700000</v>
      </c>
      <c r="G17" s="341">
        <f t="shared" ref="G17:G18" si="3">SUM(D17:F17)</f>
        <v>15050000</v>
      </c>
      <c r="H17" s="335">
        <f>C17*2%</f>
        <v>1400000</v>
      </c>
    </row>
    <row r="18" spans="2:9">
      <c r="B18" s="333" t="s">
        <v>420</v>
      </c>
      <c r="C18" s="334">
        <f>C28</f>
        <v>80000000</v>
      </c>
      <c r="D18" s="334">
        <f t="shared" ref="D18" si="4">C18*17.5%</f>
        <v>14000000</v>
      </c>
      <c r="E18" s="334">
        <f t="shared" ref="E18" si="5">C18*3%</f>
        <v>2400000</v>
      </c>
      <c r="F18" s="334">
        <f t="shared" ref="F18" si="6">C18*1%</f>
        <v>800000</v>
      </c>
      <c r="G18" s="341">
        <f t="shared" si="3"/>
        <v>17200000</v>
      </c>
      <c r="H18" s="335">
        <f>C18*2%</f>
        <v>1600000</v>
      </c>
    </row>
    <row r="19" spans="2:9">
      <c r="B19" s="337" t="s">
        <v>416</v>
      </c>
      <c r="C19" s="338">
        <f>SUM(C16:C18)</f>
        <v>150000000</v>
      </c>
      <c r="D19" s="338">
        <f t="shared" ref="D19:G19" si="7">SUM(D16:D18)</f>
        <v>26250000</v>
      </c>
      <c r="E19" s="338">
        <f t="shared" si="7"/>
        <v>4500000</v>
      </c>
      <c r="F19" s="338">
        <f t="shared" si="7"/>
        <v>1500000</v>
      </c>
      <c r="G19" s="338">
        <f t="shared" si="7"/>
        <v>32250000</v>
      </c>
      <c r="H19" s="339">
        <f>SUM(H16:H18)</f>
        <v>3000000</v>
      </c>
    </row>
    <row r="20" spans="2:9">
      <c r="B20" s="340"/>
      <c r="C20" s="341"/>
      <c r="D20" s="341"/>
      <c r="E20" s="341"/>
      <c r="F20" s="341"/>
      <c r="G20" s="341"/>
    </row>
    <row r="21" spans="2:9">
      <c r="B21" s="340"/>
      <c r="C21" s="341"/>
      <c r="D21" s="341"/>
      <c r="E21" s="341"/>
      <c r="F21" s="341"/>
      <c r="G21" s="341"/>
    </row>
    <row r="22" spans="2:9">
      <c r="B22" s="342" t="s">
        <v>462</v>
      </c>
      <c r="C22" s="342"/>
      <c r="D22" s="342"/>
      <c r="E22" s="342"/>
      <c r="F22" s="342"/>
      <c r="G22" s="342"/>
    </row>
    <row r="23" spans="2:9">
      <c r="C23" s="7"/>
      <c r="D23" s="7"/>
      <c r="E23" s="7"/>
      <c r="F23" s="7"/>
      <c r="G23" s="7"/>
    </row>
    <row r="24" spans="2:9" ht="52.15" customHeight="1">
      <c r="B24" s="328" t="s">
        <v>405</v>
      </c>
      <c r="C24" s="329" t="s">
        <v>421</v>
      </c>
      <c r="D24" s="329" t="s">
        <v>465</v>
      </c>
      <c r="E24" s="329" t="s">
        <v>466</v>
      </c>
      <c r="F24" s="329" t="s">
        <v>467</v>
      </c>
      <c r="G24" s="330" t="s">
        <v>416</v>
      </c>
    </row>
    <row r="25" spans="2:9">
      <c r="B25" s="328" t="s">
        <v>410</v>
      </c>
      <c r="C25" s="331" t="s">
        <v>411</v>
      </c>
      <c r="D25" s="331" t="s">
        <v>412</v>
      </c>
      <c r="E25" s="331" t="s">
        <v>413</v>
      </c>
      <c r="F25" s="331" t="s">
        <v>414</v>
      </c>
      <c r="G25" s="332" t="s">
        <v>417</v>
      </c>
    </row>
    <row r="26" spans="2:9">
      <c r="B26" s="333" t="s">
        <v>418</v>
      </c>
      <c r="C26" s="334"/>
      <c r="D26" s="334"/>
      <c r="E26" s="334"/>
      <c r="F26" s="336"/>
      <c r="G26" s="343"/>
    </row>
    <row r="27" spans="2:9">
      <c r="B27" s="333" t="s">
        <v>419</v>
      </c>
      <c r="C27" s="334">
        <f>C7</f>
        <v>70000000</v>
      </c>
      <c r="D27" s="334">
        <f>C27*8%</f>
        <v>5600000</v>
      </c>
      <c r="E27" s="334">
        <f>C27*1.5%</f>
        <v>1050000</v>
      </c>
      <c r="F27" s="336">
        <f>C27*1%</f>
        <v>700000</v>
      </c>
      <c r="G27" s="343">
        <f t="shared" ref="G27:G28" si="8">SUM(D27:F27)</f>
        <v>7350000</v>
      </c>
    </row>
    <row r="28" spans="2:9">
      <c r="B28" s="333" t="s">
        <v>420</v>
      </c>
      <c r="C28" s="334">
        <f>C8</f>
        <v>80000000</v>
      </c>
      <c r="D28" s="334">
        <f t="shared" ref="D28" si="9">C28*8%</f>
        <v>6400000</v>
      </c>
      <c r="E28" s="334">
        <f t="shared" ref="E28" si="10">C28*1.5%</f>
        <v>1200000</v>
      </c>
      <c r="F28" s="336">
        <f t="shared" ref="F28" si="11">C28*1%</f>
        <v>800000</v>
      </c>
      <c r="G28" s="343">
        <f t="shared" si="8"/>
        <v>8400000</v>
      </c>
    </row>
    <row r="29" spans="2:9">
      <c r="B29" s="337" t="s">
        <v>416</v>
      </c>
      <c r="C29" s="338">
        <f>SUM(C26:C28)</f>
        <v>150000000</v>
      </c>
      <c r="D29" s="338">
        <f t="shared" ref="D29:G29" si="12">SUM(D26:D28)</f>
        <v>12000000</v>
      </c>
      <c r="E29" s="338">
        <f t="shared" si="12"/>
        <v>2250000</v>
      </c>
      <c r="F29" s="338">
        <f t="shared" si="12"/>
        <v>1500000</v>
      </c>
      <c r="G29" s="339">
        <f t="shared" si="12"/>
        <v>15750000</v>
      </c>
      <c r="I29" s="69">
        <f>G19+H19+G29</f>
        <v>51000000</v>
      </c>
    </row>
    <row r="40" spans="3:3">
      <c r="C40" s="3"/>
    </row>
    <row r="41" spans="3:3">
      <c r="C41" s="3"/>
    </row>
    <row r="42" spans="3:3">
      <c r="C42" s="3"/>
    </row>
    <row r="43" spans="3:3">
      <c r="C4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>
    <tabColor rgb="FF00B050"/>
    <pageSetUpPr fitToPage="1"/>
  </sheetPr>
  <dimension ref="A1:S125"/>
  <sheetViews>
    <sheetView topLeftCell="A6" zoomScaleNormal="100" zoomScaleSheetLayoutView="77" workbookViewId="0">
      <selection activeCell="F13" sqref="F13:J103"/>
    </sheetView>
  </sheetViews>
  <sheetFormatPr defaultColWidth="8.77734375" defaultRowHeight="15.75"/>
  <cols>
    <col min="1" max="1" width="12" style="131" customWidth="1"/>
    <col min="2" max="2" width="13.88671875" style="86" customWidth="1"/>
    <col min="3" max="3" width="13.6640625" style="125" hidden="1" customWidth="1"/>
    <col min="4" max="4" width="8.109375" style="86" hidden="1" customWidth="1"/>
    <col min="5" max="5" width="64.6640625" style="126" customWidth="1"/>
    <col min="6" max="7" width="7.88671875" style="86" customWidth="1"/>
    <col min="8" max="9" width="6" style="139" customWidth="1"/>
    <col min="10" max="10" width="17" style="129" customWidth="1"/>
    <col min="11" max="11" width="12.109375" style="129" customWidth="1"/>
    <col min="12" max="12" width="13.21875" style="129" customWidth="1"/>
    <col min="13" max="13" width="14.109375" style="122" customWidth="1"/>
    <col min="14" max="14" width="16.33203125" style="122" customWidth="1"/>
    <col min="15" max="15" width="52.88671875" style="130" customWidth="1"/>
    <col min="16" max="16" width="9.88671875" style="130" customWidth="1"/>
    <col min="17" max="18" width="16" style="121" customWidth="1"/>
    <col min="19" max="19" width="10.109375" style="121" customWidth="1"/>
    <col min="20" max="16384" width="8.77734375" style="121"/>
  </cols>
  <sheetData>
    <row r="1" spans="1:19" ht="15.75" customHeight="1">
      <c r="A1" s="4" t="str">
        <f>Ttin!C2</f>
        <v>Công ty Cổ phần Sản xuất Thương mại APEC</v>
      </c>
      <c r="H1" s="128" t="s">
        <v>189</v>
      </c>
      <c r="I1" s="128"/>
      <c r="M1" s="4" t="str">
        <f>A1</f>
        <v>Công ty Cổ phần Sản xuất Thương mại APEC</v>
      </c>
    </row>
    <row r="2" spans="1:19" ht="15.75" customHeight="1">
      <c r="A2" s="8" t="str">
        <f>Ttin!C3</f>
        <v>32 đường số 7, Phường Bình Hưng Hòa, Quận Bình Tân, TP Hồ Chí Minh</v>
      </c>
      <c r="H2" s="131" t="s">
        <v>307</v>
      </c>
      <c r="I2" s="131"/>
      <c r="M2" s="8" t="str">
        <f>A2</f>
        <v>32 đường số 7, Phường Bình Hưng Hòa, Quận Bình Tân, TP Hồ Chí Minh</v>
      </c>
    </row>
    <row r="3" spans="1:19" ht="15.75" customHeight="1">
      <c r="A3" s="132"/>
      <c r="H3" s="131" t="s">
        <v>306</v>
      </c>
      <c r="I3" s="131"/>
    </row>
    <row r="4" spans="1:19" ht="27" customHeight="1">
      <c r="A4" s="91" t="s">
        <v>188</v>
      </c>
      <c r="B4" s="93"/>
      <c r="C4" s="93"/>
      <c r="D4" s="93"/>
      <c r="E4" s="89"/>
      <c r="F4" s="93"/>
      <c r="G4" s="93"/>
      <c r="H4" s="89"/>
      <c r="I4" s="89"/>
      <c r="J4" s="134"/>
      <c r="N4" s="92"/>
      <c r="O4" s="351" t="s">
        <v>198</v>
      </c>
      <c r="P4" s="92"/>
      <c r="Q4" s="89"/>
      <c r="R4" s="135">
        <v>2</v>
      </c>
    </row>
    <row r="5" spans="1:19" ht="21.75" customHeight="1">
      <c r="A5" s="228" t="str">
        <f>Ttin!C5</f>
        <v>Tháng 5/2024</v>
      </c>
      <c r="B5" s="93"/>
      <c r="C5" s="93"/>
      <c r="D5" s="93"/>
      <c r="E5" s="89"/>
      <c r="F5" s="93"/>
      <c r="G5" s="93"/>
      <c r="H5" s="136"/>
      <c r="I5" s="136"/>
      <c r="J5" s="134"/>
      <c r="K5" s="137"/>
      <c r="L5" s="137"/>
      <c r="N5" s="92"/>
      <c r="O5" s="352" t="str">
        <f>Ttin!C5</f>
        <v>Tháng 5/2024</v>
      </c>
      <c r="P5" s="92"/>
      <c r="Q5" s="89"/>
      <c r="R5" s="138">
        <f>LEN(Q6)</f>
        <v>4</v>
      </c>
    </row>
    <row r="6" spans="1:19" ht="24.75" customHeight="1">
      <c r="J6" s="140" t="s">
        <v>190</v>
      </c>
      <c r="K6" s="137"/>
      <c r="L6" s="137"/>
      <c r="N6" s="141" t="s">
        <v>265</v>
      </c>
      <c r="O6" s="353" t="str">
        <f>INDEX(CDPS,R4,1)</f>
        <v>Tiền Việt Nam</v>
      </c>
      <c r="P6" s="141" t="s">
        <v>264</v>
      </c>
      <c r="Q6" s="142" t="str">
        <f>INDEX(CDPS_taikhoan,R4,1)</f>
        <v>1111</v>
      </c>
      <c r="R6" s="140" t="s">
        <v>190</v>
      </c>
    </row>
    <row r="7" spans="1:19" ht="6" customHeight="1">
      <c r="J7" s="143"/>
      <c r="K7" s="137"/>
      <c r="L7" s="137"/>
      <c r="O7" s="122"/>
      <c r="P7" s="122"/>
      <c r="S7" s="128"/>
    </row>
    <row r="8" spans="1:19" s="128" customFormat="1" ht="25.9" customHeight="1">
      <c r="A8" s="378" t="s">
        <v>3</v>
      </c>
      <c r="B8" s="379"/>
      <c r="C8" s="388" t="s">
        <v>196</v>
      </c>
      <c r="D8" s="389"/>
      <c r="E8" s="382" t="s">
        <v>4</v>
      </c>
      <c r="F8" s="380" t="s">
        <v>20</v>
      </c>
      <c r="G8" s="381"/>
      <c r="H8" s="386" t="s">
        <v>527</v>
      </c>
      <c r="I8" s="386" t="s">
        <v>528</v>
      </c>
      <c r="J8" s="384" t="s">
        <v>5</v>
      </c>
      <c r="K8" s="144"/>
      <c r="L8" s="144"/>
      <c r="M8" s="376" t="s">
        <v>3</v>
      </c>
      <c r="N8" s="377"/>
      <c r="O8" s="374" t="s">
        <v>4</v>
      </c>
      <c r="P8" s="374" t="s">
        <v>15</v>
      </c>
      <c r="Q8" s="372" t="s">
        <v>21</v>
      </c>
      <c r="R8" s="373"/>
    </row>
    <row r="9" spans="1:19" s="128" customFormat="1" ht="29.45" customHeight="1">
      <c r="A9" s="145" t="s">
        <v>7</v>
      </c>
      <c r="B9" s="145" t="s">
        <v>6</v>
      </c>
      <c r="C9" s="146" t="s">
        <v>1</v>
      </c>
      <c r="D9" s="146" t="s">
        <v>195</v>
      </c>
      <c r="E9" s="383"/>
      <c r="F9" s="147" t="s">
        <v>22</v>
      </c>
      <c r="G9" s="147" t="s">
        <v>23</v>
      </c>
      <c r="H9" s="387"/>
      <c r="I9" s="387"/>
      <c r="J9" s="385"/>
      <c r="K9" s="144"/>
      <c r="L9" s="144"/>
      <c r="M9" s="148" t="s">
        <v>7</v>
      </c>
      <c r="N9" s="148" t="s">
        <v>6</v>
      </c>
      <c r="O9" s="375"/>
      <c r="P9" s="375"/>
      <c r="Q9" s="148" t="s">
        <v>116</v>
      </c>
      <c r="R9" s="148" t="s">
        <v>117</v>
      </c>
    </row>
    <row r="10" spans="1:19" s="128" customFormat="1">
      <c r="A10" s="149">
        <v>1</v>
      </c>
      <c r="B10" s="149">
        <v>2</v>
      </c>
      <c r="C10" s="150"/>
      <c r="D10" s="149"/>
      <c r="E10" s="149">
        <v>3</v>
      </c>
      <c r="F10" s="149">
        <v>4</v>
      </c>
      <c r="G10" s="149">
        <v>5</v>
      </c>
      <c r="H10" s="149"/>
      <c r="I10" s="149"/>
      <c r="J10" s="149">
        <v>6</v>
      </c>
      <c r="K10" s="151"/>
      <c r="L10" s="151"/>
      <c r="M10" s="152" t="s">
        <v>24</v>
      </c>
      <c r="N10" s="152" t="s">
        <v>25</v>
      </c>
      <c r="O10" s="153" t="s">
        <v>26</v>
      </c>
      <c r="P10" s="152" t="s">
        <v>27</v>
      </c>
      <c r="Q10" s="152" t="s">
        <v>28</v>
      </c>
      <c r="R10" s="154" t="s">
        <v>29</v>
      </c>
      <c r="S10" s="121"/>
    </row>
    <row r="11" spans="1:19" ht="18.75" customHeight="1">
      <c r="A11" s="155"/>
      <c r="C11" s="156"/>
      <c r="D11" s="157"/>
      <c r="E11" s="158" t="s">
        <v>386</v>
      </c>
      <c r="F11" s="159"/>
      <c r="G11" s="160"/>
      <c r="H11" s="161"/>
      <c r="I11" s="161"/>
      <c r="J11" s="162"/>
      <c r="K11" s="163"/>
      <c r="L11" s="163"/>
      <c r="M11" s="169"/>
      <c r="N11" s="164"/>
      <c r="O11" s="165" t="s">
        <v>391</v>
      </c>
      <c r="P11" s="166"/>
      <c r="Q11" s="167">
        <f>INDEX(CDPS,R4,2)</f>
        <v>1500000000</v>
      </c>
      <c r="R11" s="168">
        <f>INDEX(CDPS,R4,3)</f>
        <v>0</v>
      </c>
    </row>
    <row r="12" spans="1:19" ht="18.75" customHeight="1">
      <c r="A12" s="169"/>
      <c r="B12" s="169"/>
      <c r="C12" s="170"/>
      <c r="D12" s="169"/>
      <c r="E12" s="171"/>
      <c r="F12" s="172"/>
      <c r="G12" s="172"/>
      <c r="H12" s="173"/>
      <c r="I12" s="173"/>
      <c r="J12" s="174"/>
      <c r="K12" s="175">
        <f>J$107-CDPS!F$132</f>
        <v>0</v>
      </c>
      <c r="L12" s="175">
        <f>J$107-CDPS!G$132</f>
        <v>0</v>
      </c>
      <c r="M12" s="169" t="str">
        <f t="shared" ref="M12:M74" si="0">IF(P12&lt;&gt;"",A12,"-")</f>
        <v>-</v>
      </c>
      <c r="N12" s="356" t="str">
        <f t="shared" ref="N12:N14" si="1">IF(P12&lt;&gt;"",B12,"-")</f>
        <v>-</v>
      </c>
      <c r="O12" s="176" t="str">
        <f t="shared" ref="O12" si="2">IF(P12&lt;&gt;"",$E12,"")</f>
        <v/>
      </c>
      <c r="P12" s="177" t="str">
        <f t="shared" ref="P12" si="3">IF(LEFT(Q$6,R$5)=LEFT($F12,R$5),$G12,"")&amp;IF(LEFT(Q$6,R$5)=LEFT($G12,R$5),$F12,"")</f>
        <v/>
      </c>
      <c r="Q12" s="178" t="str">
        <f t="shared" ref="Q12" si="4">IF(LEFT(Q$6,R$5)=LEFT($F12,R$5),$J12,"-")</f>
        <v>-</v>
      </c>
      <c r="R12" s="178" t="str">
        <f t="shared" ref="R12" si="5">IF(LEFT(Q$6,R$5)=LEFT($G12,R$5),$J12,"-")</f>
        <v>-</v>
      </c>
    </row>
    <row r="13" spans="1:19" ht="18.75" customHeight="1">
      <c r="A13" s="169">
        <v>45413</v>
      </c>
      <c r="B13" s="169" t="s">
        <v>451</v>
      </c>
      <c r="C13" s="170"/>
      <c r="D13" s="169"/>
      <c r="E13" s="171" t="s">
        <v>534</v>
      </c>
      <c r="F13" s="179"/>
      <c r="G13" s="179"/>
      <c r="H13" s="173"/>
      <c r="I13" s="173"/>
      <c r="J13" s="174"/>
      <c r="K13" s="175">
        <f>J$107-CDPS!F$132</f>
        <v>0</v>
      </c>
      <c r="L13" s="175">
        <f>J$107-CDPS!G$132</f>
        <v>0</v>
      </c>
      <c r="M13" s="169" t="str">
        <f t="shared" si="0"/>
        <v>-</v>
      </c>
      <c r="N13" s="356" t="str">
        <f t="shared" si="1"/>
        <v>-</v>
      </c>
      <c r="O13" s="176" t="str">
        <f t="shared" ref="O13:O16" si="6">IF(P13&lt;&gt;"",$E13,"")</f>
        <v/>
      </c>
      <c r="P13" s="177" t="str">
        <f t="shared" ref="P13:P16" si="7">IF(LEFT(Q$6,R$5)=LEFT($F13,R$5),$G13,"")&amp;IF(LEFT(Q$6,R$5)=LEFT($G13,R$5),$F13,"")</f>
        <v/>
      </c>
      <c r="Q13" s="178" t="str">
        <f t="shared" ref="Q13:Q16" si="8">IF(LEFT(Q$6,R$5)=LEFT($F13,R$5),$J13,"-")</f>
        <v>-</v>
      </c>
      <c r="R13" s="178" t="str">
        <f t="shared" ref="R13:R16" si="9">IF(LEFT(Q$6,R$5)=LEFT($G13,R$5),$J13,"-")</f>
        <v>-</v>
      </c>
    </row>
    <row r="14" spans="1:19" ht="18.75" customHeight="1">
      <c r="A14" s="169"/>
      <c r="B14" s="169"/>
      <c r="C14" s="170"/>
      <c r="D14" s="169"/>
      <c r="E14" s="171"/>
      <c r="F14" s="172"/>
      <c r="G14" s="172"/>
      <c r="H14" s="173"/>
      <c r="I14" s="173"/>
      <c r="J14" s="174"/>
      <c r="K14" s="175">
        <f>J$107-CDPS!F$132</f>
        <v>0</v>
      </c>
      <c r="L14" s="175">
        <f>J$107-CDPS!G$132</f>
        <v>0</v>
      </c>
      <c r="M14" s="169" t="str">
        <f t="shared" si="0"/>
        <v>-</v>
      </c>
      <c r="N14" s="356" t="str">
        <f t="shared" si="1"/>
        <v>-</v>
      </c>
      <c r="O14" s="176" t="str">
        <f t="shared" si="6"/>
        <v/>
      </c>
      <c r="P14" s="177" t="str">
        <f t="shared" si="7"/>
        <v/>
      </c>
      <c r="Q14" s="178" t="str">
        <f t="shared" si="8"/>
        <v>-</v>
      </c>
      <c r="R14" s="178" t="str">
        <f t="shared" si="9"/>
        <v>-</v>
      </c>
    </row>
    <row r="15" spans="1:19" ht="18.75" customHeight="1">
      <c r="A15" s="169">
        <v>45414</v>
      </c>
      <c r="B15" s="169" t="s">
        <v>427</v>
      </c>
      <c r="C15" s="170"/>
      <c r="D15" s="169"/>
      <c r="E15" s="171" t="s">
        <v>506</v>
      </c>
      <c r="F15" s="179"/>
      <c r="G15" s="180"/>
      <c r="H15" s="173"/>
      <c r="I15" s="173"/>
      <c r="J15" s="174"/>
      <c r="K15" s="175">
        <f>J$107-CDPS!F$132</f>
        <v>0</v>
      </c>
      <c r="L15" s="175">
        <f>J$107-CDPS!G$132</f>
        <v>0</v>
      </c>
      <c r="M15" s="169" t="str">
        <f t="shared" si="0"/>
        <v>-</v>
      </c>
      <c r="N15" s="356" t="str">
        <f>IF(P15&lt;&gt;"",B15,"-")</f>
        <v>-</v>
      </c>
      <c r="O15" s="176" t="str">
        <f t="shared" si="6"/>
        <v/>
      </c>
      <c r="P15" s="177" t="str">
        <f t="shared" si="7"/>
        <v/>
      </c>
      <c r="Q15" s="178" t="str">
        <f t="shared" si="8"/>
        <v>-</v>
      </c>
      <c r="R15" s="178" t="str">
        <f t="shared" si="9"/>
        <v>-</v>
      </c>
    </row>
    <row r="16" spans="1:19" ht="18.75" customHeight="1">
      <c r="A16" s="169"/>
      <c r="B16" s="169"/>
      <c r="C16" s="170"/>
      <c r="D16" s="169"/>
      <c r="E16" s="171"/>
      <c r="F16" s="185"/>
      <c r="G16" s="185"/>
      <c r="H16" s="173"/>
      <c r="I16" s="173"/>
      <c r="J16" s="174"/>
      <c r="K16" s="175">
        <f>J$107-CDPS!F$132</f>
        <v>0</v>
      </c>
      <c r="L16" s="175">
        <f>J$107-CDPS!G$132</f>
        <v>0</v>
      </c>
      <c r="M16" s="169" t="str">
        <f t="shared" si="0"/>
        <v>-</v>
      </c>
      <c r="N16" s="356" t="str">
        <f t="shared" ref="N16:N79" si="10">IF(P16&lt;&gt;"",B16,"-")</f>
        <v>-</v>
      </c>
      <c r="O16" s="176" t="str">
        <f t="shared" si="6"/>
        <v/>
      </c>
      <c r="P16" s="177" t="str">
        <f t="shared" si="7"/>
        <v/>
      </c>
      <c r="Q16" s="178" t="str">
        <f t="shared" si="8"/>
        <v>-</v>
      </c>
      <c r="R16" s="178" t="str">
        <f t="shared" si="9"/>
        <v>-</v>
      </c>
    </row>
    <row r="17" spans="1:18" ht="18.75" customHeight="1">
      <c r="A17" s="169">
        <v>45415</v>
      </c>
      <c r="B17" s="169" t="s">
        <v>435</v>
      </c>
      <c r="C17" s="170"/>
      <c r="D17" s="169"/>
      <c r="E17" s="171" t="s">
        <v>434</v>
      </c>
      <c r="F17" s="321"/>
      <c r="G17" s="179"/>
      <c r="H17" s="173"/>
      <c r="I17" s="173"/>
      <c r="J17" s="174"/>
      <c r="K17" s="175">
        <f>J$107-CDPS!F$132</f>
        <v>0</v>
      </c>
      <c r="L17" s="175">
        <f>J$107-CDPS!G$132</f>
        <v>0</v>
      </c>
      <c r="M17" s="169" t="str">
        <f t="shared" si="0"/>
        <v>-</v>
      </c>
      <c r="N17" s="356" t="str">
        <f t="shared" si="10"/>
        <v>-</v>
      </c>
      <c r="O17" s="176" t="str">
        <f t="shared" ref="O17:O82" si="11">IF(P17&lt;&gt;"",$E17,"")</f>
        <v/>
      </c>
      <c r="P17" s="177" t="str">
        <f t="shared" ref="P17:P82" si="12">IF(LEFT(Q$6,R$5)=LEFT($F17,R$5),$G17,"")&amp;IF(LEFT(Q$6,R$5)=LEFT($G17,R$5),$F17,"")</f>
        <v/>
      </c>
      <c r="Q17" s="178" t="str">
        <f t="shared" ref="Q17:Q82" si="13">IF(LEFT(Q$6,R$5)=LEFT($F17,R$5),$J17,"-")</f>
        <v>-</v>
      </c>
      <c r="R17" s="178" t="str">
        <f t="shared" ref="R17:R82" si="14">IF(LEFT(Q$6,R$5)=LEFT($G17,R$5),$J17,"-")</f>
        <v>-</v>
      </c>
    </row>
    <row r="18" spans="1:18" ht="18.75" customHeight="1">
      <c r="A18" s="169">
        <v>45415</v>
      </c>
      <c r="B18" s="169" t="s">
        <v>435</v>
      </c>
      <c r="C18" s="170"/>
      <c r="D18" s="169"/>
      <c r="E18" s="171" t="s">
        <v>519</v>
      </c>
      <c r="F18" s="179"/>
      <c r="G18" s="179"/>
      <c r="H18" s="182"/>
      <c r="I18" s="173"/>
      <c r="J18" s="183"/>
      <c r="K18" s="175">
        <f>J$107-CDPS!F$132</f>
        <v>0</v>
      </c>
      <c r="L18" s="175">
        <f>J$107-CDPS!G$132</f>
        <v>0</v>
      </c>
      <c r="M18" s="169" t="str">
        <f t="shared" si="0"/>
        <v>-</v>
      </c>
      <c r="N18" s="356" t="str">
        <f t="shared" si="10"/>
        <v>-</v>
      </c>
      <c r="O18" s="176" t="str">
        <f t="shared" si="11"/>
        <v/>
      </c>
      <c r="P18" s="177" t="str">
        <f t="shared" si="12"/>
        <v/>
      </c>
      <c r="Q18" s="178" t="str">
        <f t="shared" si="13"/>
        <v>-</v>
      </c>
      <c r="R18" s="178" t="str">
        <f t="shared" si="14"/>
        <v>-</v>
      </c>
    </row>
    <row r="19" spans="1:18" ht="18.75" customHeight="1">
      <c r="A19" s="169"/>
      <c r="B19" s="169"/>
      <c r="C19" s="170"/>
      <c r="D19" s="169"/>
      <c r="E19" s="171"/>
      <c r="F19" s="185"/>
      <c r="G19" s="184"/>
      <c r="H19" s="182"/>
      <c r="I19" s="173"/>
      <c r="J19" s="183"/>
      <c r="K19" s="175">
        <f>J$107-CDPS!F$132</f>
        <v>0</v>
      </c>
      <c r="L19" s="175">
        <f>J$107-CDPS!G$132</f>
        <v>0</v>
      </c>
      <c r="M19" s="169" t="str">
        <f t="shared" si="0"/>
        <v>-</v>
      </c>
      <c r="N19" s="356" t="str">
        <f t="shared" si="10"/>
        <v>-</v>
      </c>
      <c r="O19" s="176" t="str">
        <f t="shared" si="11"/>
        <v/>
      </c>
      <c r="P19" s="177" t="str">
        <f t="shared" si="12"/>
        <v/>
      </c>
      <c r="Q19" s="178" t="str">
        <f t="shared" si="13"/>
        <v>-</v>
      </c>
      <c r="R19" s="178" t="str">
        <f t="shared" si="14"/>
        <v>-</v>
      </c>
    </row>
    <row r="20" spans="1:18" ht="18.75" customHeight="1">
      <c r="A20" s="169">
        <v>45416</v>
      </c>
      <c r="B20" s="169" t="s">
        <v>436</v>
      </c>
      <c r="C20" s="170"/>
      <c r="D20" s="169"/>
      <c r="E20" s="171" t="s">
        <v>532</v>
      </c>
      <c r="F20" s="179"/>
      <c r="G20" s="179"/>
      <c r="H20" s="173"/>
      <c r="I20" s="173"/>
      <c r="J20" s="174"/>
      <c r="K20" s="175">
        <f>J$107-CDPS!F$132</f>
        <v>0</v>
      </c>
      <c r="L20" s="175">
        <f>J$107-CDPS!G$132</f>
        <v>0</v>
      </c>
      <c r="M20" s="169" t="str">
        <f t="shared" si="0"/>
        <v>-</v>
      </c>
      <c r="N20" s="356" t="str">
        <f t="shared" si="10"/>
        <v>-</v>
      </c>
      <c r="O20" s="176" t="str">
        <f t="shared" ref="O20:O35" si="15">IF(P20&lt;&gt;"",$E20,"")</f>
        <v/>
      </c>
      <c r="P20" s="177" t="str">
        <f t="shared" ref="P20:P35" si="16">IF(LEFT(Q$6,R$5)=LEFT($F20,R$5),$G20,"")&amp;IF(LEFT(Q$6,R$5)=LEFT($G20,R$5),$F20,"")</f>
        <v/>
      </c>
      <c r="Q20" s="178" t="str">
        <f t="shared" ref="Q20:Q35" si="17">IF(LEFT(Q$6,R$5)=LEFT($F20,R$5),$J20,"-")</f>
        <v>-</v>
      </c>
      <c r="R20" s="178" t="str">
        <f t="shared" ref="R20:R35" si="18">IF(LEFT(Q$6,R$5)=LEFT($G20,R$5),$J20,"-")</f>
        <v>-</v>
      </c>
    </row>
    <row r="21" spans="1:18" ht="18.75" customHeight="1">
      <c r="A21" s="169">
        <v>45416</v>
      </c>
      <c r="B21" s="169" t="s">
        <v>436</v>
      </c>
      <c r="C21" s="170"/>
      <c r="D21" s="169"/>
      <c r="E21" s="171" t="s">
        <v>533</v>
      </c>
      <c r="F21" s="179"/>
      <c r="G21" s="184"/>
      <c r="H21" s="173"/>
      <c r="I21" s="173"/>
      <c r="J21" s="174"/>
      <c r="K21" s="175">
        <f>J$107-CDPS!F$132</f>
        <v>0</v>
      </c>
      <c r="L21" s="175">
        <f>J$107-CDPS!G$132</f>
        <v>0</v>
      </c>
      <c r="M21" s="169" t="str">
        <f t="shared" si="0"/>
        <v>-</v>
      </c>
      <c r="N21" s="356" t="str">
        <f t="shared" si="10"/>
        <v>-</v>
      </c>
      <c r="O21" s="176" t="str">
        <f t="shared" si="15"/>
        <v/>
      </c>
      <c r="P21" s="177" t="str">
        <f t="shared" si="16"/>
        <v/>
      </c>
      <c r="Q21" s="178" t="str">
        <f t="shared" si="17"/>
        <v>-</v>
      </c>
      <c r="R21" s="178" t="str">
        <f t="shared" si="18"/>
        <v>-</v>
      </c>
    </row>
    <row r="22" spans="1:18" ht="18.75" customHeight="1">
      <c r="A22" s="169"/>
      <c r="B22" s="169"/>
      <c r="C22" s="170"/>
      <c r="D22" s="169"/>
      <c r="E22" s="171"/>
      <c r="F22" s="179"/>
      <c r="G22" s="184"/>
      <c r="H22" s="173"/>
      <c r="I22" s="173"/>
      <c r="J22" s="174"/>
      <c r="K22" s="175">
        <f>J$107-CDPS!F$132</f>
        <v>0</v>
      </c>
      <c r="L22" s="175">
        <f>J$107-CDPS!G$132</f>
        <v>0</v>
      </c>
      <c r="M22" s="169" t="str">
        <f t="shared" si="0"/>
        <v>-</v>
      </c>
      <c r="N22" s="356" t="str">
        <f t="shared" si="10"/>
        <v>-</v>
      </c>
      <c r="O22" s="176" t="str">
        <f t="shared" si="15"/>
        <v/>
      </c>
      <c r="P22" s="177" t="str">
        <f t="shared" si="16"/>
        <v/>
      </c>
      <c r="Q22" s="178" t="str">
        <f t="shared" si="17"/>
        <v>-</v>
      </c>
      <c r="R22" s="178" t="str">
        <f t="shared" si="18"/>
        <v>-</v>
      </c>
    </row>
    <row r="23" spans="1:18" ht="18.75" customHeight="1">
      <c r="A23" s="169">
        <v>45416</v>
      </c>
      <c r="B23" s="169" t="s">
        <v>453</v>
      </c>
      <c r="C23" s="170"/>
      <c r="D23" s="169"/>
      <c r="E23" s="171" t="s">
        <v>452</v>
      </c>
      <c r="F23" s="180"/>
      <c r="G23" s="321"/>
      <c r="H23" s="173"/>
      <c r="I23" s="173"/>
      <c r="J23" s="174"/>
      <c r="K23" s="175">
        <f>J$107-CDPS!F$132</f>
        <v>0</v>
      </c>
      <c r="L23" s="175">
        <f>J$107-CDPS!G$132</f>
        <v>0</v>
      </c>
      <c r="M23" s="169" t="str">
        <f t="shared" si="0"/>
        <v>-</v>
      </c>
      <c r="N23" s="356" t="str">
        <f t="shared" si="10"/>
        <v>-</v>
      </c>
      <c r="O23" s="176" t="str">
        <f t="shared" si="15"/>
        <v/>
      </c>
      <c r="P23" s="177" t="str">
        <f t="shared" si="16"/>
        <v/>
      </c>
      <c r="Q23" s="178" t="str">
        <f t="shared" si="17"/>
        <v>-</v>
      </c>
      <c r="R23" s="178" t="str">
        <f t="shared" si="18"/>
        <v>-</v>
      </c>
    </row>
    <row r="24" spans="1:18" ht="18.75" customHeight="1">
      <c r="A24" s="169"/>
      <c r="B24" s="169"/>
      <c r="C24" s="170"/>
      <c r="D24" s="169"/>
      <c r="E24" s="171"/>
      <c r="F24" s="185"/>
      <c r="G24" s="184"/>
      <c r="H24" s="173"/>
      <c r="I24" s="173"/>
      <c r="J24" s="174"/>
      <c r="K24" s="175">
        <f>J$107-CDPS!F$132</f>
        <v>0</v>
      </c>
      <c r="L24" s="175">
        <f>J$107-CDPS!G$132</f>
        <v>0</v>
      </c>
      <c r="M24" s="169" t="str">
        <f t="shared" si="0"/>
        <v>-</v>
      </c>
      <c r="N24" s="356" t="str">
        <f t="shared" si="10"/>
        <v>-</v>
      </c>
      <c r="O24" s="176" t="str">
        <f t="shared" si="15"/>
        <v/>
      </c>
      <c r="P24" s="177" t="str">
        <f t="shared" si="16"/>
        <v/>
      </c>
      <c r="Q24" s="178" t="str">
        <f t="shared" si="17"/>
        <v>-</v>
      </c>
      <c r="R24" s="178" t="str">
        <f t="shared" si="18"/>
        <v>-</v>
      </c>
    </row>
    <row r="25" spans="1:18" ht="18.75" customHeight="1">
      <c r="A25" s="169">
        <v>45417</v>
      </c>
      <c r="B25" s="169" t="s">
        <v>450</v>
      </c>
      <c r="C25" s="170"/>
      <c r="D25" s="169"/>
      <c r="E25" s="171" t="s">
        <v>449</v>
      </c>
      <c r="F25" s="180"/>
      <c r="G25" s="180"/>
      <c r="H25" s="173"/>
      <c r="I25" s="173"/>
      <c r="J25" s="174"/>
      <c r="K25" s="175">
        <f>J$107-CDPS!F$132</f>
        <v>0</v>
      </c>
      <c r="L25" s="175">
        <f>J$107-CDPS!G$132</f>
        <v>0</v>
      </c>
      <c r="M25" s="169" t="str">
        <f t="shared" si="0"/>
        <v>-</v>
      </c>
      <c r="N25" s="356" t="str">
        <f t="shared" si="10"/>
        <v>-</v>
      </c>
      <c r="O25" s="176" t="str">
        <f t="shared" si="15"/>
        <v/>
      </c>
      <c r="P25" s="177" t="str">
        <f t="shared" si="16"/>
        <v/>
      </c>
      <c r="Q25" s="178" t="str">
        <f t="shared" si="17"/>
        <v>-</v>
      </c>
      <c r="R25" s="178" t="str">
        <f t="shared" si="18"/>
        <v>-</v>
      </c>
    </row>
    <row r="26" spans="1:18" ht="18.75" customHeight="1">
      <c r="A26" s="169">
        <v>45417</v>
      </c>
      <c r="B26" s="169" t="s">
        <v>450</v>
      </c>
      <c r="C26" s="170"/>
      <c r="D26" s="169"/>
      <c r="E26" s="171" t="s">
        <v>518</v>
      </c>
      <c r="F26" s="179"/>
      <c r="G26" s="180"/>
      <c r="H26" s="182"/>
      <c r="I26" s="173"/>
      <c r="J26" s="183"/>
      <c r="K26" s="175">
        <f>J$107-CDPS!F$132</f>
        <v>0</v>
      </c>
      <c r="L26" s="175">
        <f>J$107-CDPS!G$132</f>
        <v>0</v>
      </c>
      <c r="M26" s="169" t="str">
        <f t="shared" si="0"/>
        <v>-</v>
      </c>
      <c r="N26" s="356" t="str">
        <f t="shared" si="10"/>
        <v>-</v>
      </c>
      <c r="O26" s="176" t="str">
        <f t="shared" si="15"/>
        <v/>
      </c>
      <c r="P26" s="177" t="str">
        <f t="shared" si="16"/>
        <v/>
      </c>
      <c r="Q26" s="178" t="str">
        <f t="shared" si="17"/>
        <v>-</v>
      </c>
      <c r="R26" s="178" t="str">
        <f t="shared" si="18"/>
        <v>-</v>
      </c>
    </row>
    <row r="27" spans="1:18" ht="18.75" customHeight="1">
      <c r="A27" s="169"/>
      <c r="B27" s="169"/>
      <c r="C27" s="170"/>
      <c r="D27" s="169"/>
      <c r="E27" s="171"/>
      <c r="F27" s="172"/>
      <c r="G27" s="172"/>
      <c r="H27" s="173"/>
      <c r="I27" s="173"/>
      <c r="J27" s="174"/>
      <c r="K27" s="175">
        <f>J$107-CDPS!F$132</f>
        <v>0</v>
      </c>
      <c r="L27" s="175">
        <f>J$107-CDPS!G$132</f>
        <v>0</v>
      </c>
      <c r="M27" s="169" t="str">
        <f t="shared" si="0"/>
        <v>-</v>
      </c>
      <c r="N27" s="356" t="str">
        <f t="shared" si="10"/>
        <v>-</v>
      </c>
      <c r="O27" s="176" t="str">
        <f t="shared" si="15"/>
        <v/>
      </c>
      <c r="P27" s="177" t="str">
        <f t="shared" si="16"/>
        <v/>
      </c>
      <c r="Q27" s="178" t="str">
        <f t="shared" si="17"/>
        <v>-</v>
      </c>
      <c r="R27" s="178" t="str">
        <f t="shared" si="18"/>
        <v>-</v>
      </c>
    </row>
    <row r="28" spans="1:18" ht="18.75" customHeight="1">
      <c r="A28" s="169">
        <v>45418</v>
      </c>
      <c r="B28" s="169" t="s">
        <v>464</v>
      </c>
      <c r="C28" s="318"/>
      <c r="D28" s="319"/>
      <c r="E28" s="171" t="s">
        <v>507</v>
      </c>
      <c r="F28" s="179"/>
      <c r="G28" s="180"/>
      <c r="H28" s="182"/>
      <c r="I28" s="173"/>
      <c r="J28" s="183"/>
      <c r="K28" s="175">
        <f>J$107-CDPS!F$132</f>
        <v>0</v>
      </c>
      <c r="L28" s="175">
        <f>J$107-CDPS!G$132</f>
        <v>0</v>
      </c>
      <c r="M28" s="169" t="str">
        <f t="shared" si="0"/>
        <v>-</v>
      </c>
      <c r="N28" s="356" t="str">
        <f t="shared" si="10"/>
        <v>-</v>
      </c>
      <c r="O28" s="176" t="str">
        <f t="shared" si="15"/>
        <v/>
      </c>
      <c r="P28" s="177" t="str">
        <f t="shared" si="16"/>
        <v/>
      </c>
      <c r="Q28" s="178" t="str">
        <f t="shared" si="17"/>
        <v>-</v>
      </c>
      <c r="R28" s="178" t="str">
        <f t="shared" si="18"/>
        <v>-</v>
      </c>
    </row>
    <row r="29" spans="1:18" ht="18.75" customHeight="1">
      <c r="A29" s="169">
        <v>45418</v>
      </c>
      <c r="B29" s="169" t="s">
        <v>464</v>
      </c>
      <c r="C29" s="318"/>
      <c r="D29" s="319"/>
      <c r="E29" s="171" t="s">
        <v>508</v>
      </c>
      <c r="F29" s="179"/>
      <c r="G29" s="180"/>
      <c r="H29" s="182"/>
      <c r="I29" s="173"/>
      <c r="J29" s="183"/>
      <c r="K29" s="175">
        <f>J$107-CDPS!F$132</f>
        <v>0</v>
      </c>
      <c r="L29" s="175">
        <f>J$107-CDPS!G$132</f>
        <v>0</v>
      </c>
      <c r="M29" s="169" t="str">
        <f t="shared" si="0"/>
        <v>-</v>
      </c>
      <c r="N29" s="356" t="str">
        <f t="shared" si="10"/>
        <v>-</v>
      </c>
      <c r="O29" s="176" t="str">
        <f t="shared" si="15"/>
        <v/>
      </c>
      <c r="P29" s="177" t="str">
        <f t="shared" si="16"/>
        <v/>
      </c>
      <c r="Q29" s="178" t="str">
        <f t="shared" si="17"/>
        <v>-</v>
      </c>
      <c r="R29" s="178" t="str">
        <f t="shared" si="18"/>
        <v>-</v>
      </c>
    </row>
    <row r="30" spans="1:18" ht="18.75" customHeight="1">
      <c r="A30" s="169"/>
      <c r="B30" s="169"/>
      <c r="C30" s="170"/>
      <c r="D30" s="169"/>
      <c r="E30" s="171"/>
      <c r="F30" s="185"/>
      <c r="G30" s="184"/>
      <c r="H30" s="182"/>
      <c r="I30" s="173"/>
      <c r="J30" s="183"/>
      <c r="K30" s="175">
        <f>J$107-CDPS!F$132</f>
        <v>0</v>
      </c>
      <c r="L30" s="175">
        <f>J$107-CDPS!G$132</f>
        <v>0</v>
      </c>
      <c r="M30" s="169" t="str">
        <f t="shared" si="0"/>
        <v>-</v>
      </c>
      <c r="N30" s="356" t="str">
        <f t="shared" si="10"/>
        <v>-</v>
      </c>
      <c r="O30" s="176" t="str">
        <f t="shared" si="15"/>
        <v/>
      </c>
      <c r="P30" s="177" t="str">
        <f t="shared" si="16"/>
        <v/>
      </c>
      <c r="Q30" s="178" t="str">
        <f t="shared" si="17"/>
        <v>-</v>
      </c>
      <c r="R30" s="178" t="str">
        <f t="shared" si="18"/>
        <v>-</v>
      </c>
    </row>
    <row r="31" spans="1:18" ht="18.75" customHeight="1">
      <c r="A31" s="169">
        <v>45419</v>
      </c>
      <c r="B31" s="169" t="s">
        <v>455</v>
      </c>
      <c r="C31" s="170"/>
      <c r="D31" s="169"/>
      <c r="E31" s="171" t="s">
        <v>454</v>
      </c>
      <c r="F31" s="180"/>
      <c r="G31" s="179"/>
      <c r="H31" s="182"/>
      <c r="I31" s="173"/>
      <c r="J31" s="183"/>
      <c r="K31" s="175">
        <f>J$107-CDPS!F$132</f>
        <v>0</v>
      </c>
      <c r="L31" s="175">
        <f>J$107-CDPS!G$132</f>
        <v>0</v>
      </c>
      <c r="M31" s="169" t="str">
        <f t="shared" si="0"/>
        <v>-</v>
      </c>
      <c r="N31" s="356" t="str">
        <f t="shared" si="10"/>
        <v>-</v>
      </c>
      <c r="O31" s="176" t="str">
        <f t="shared" si="15"/>
        <v/>
      </c>
      <c r="P31" s="177" t="str">
        <f t="shared" si="16"/>
        <v/>
      </c>
      <c r="Q31" s="178" t="str">
        <f t="shared" si="17"/>
        <v>-</v>
      </c>
      <c r="R31" s="178" t="str">
        <f t="shared" si="18"/>
        <v>-</v>
      </c>
    </row>
    <row r="32" spans="1:18" ht="18.75" customHeight="1">
      <c r="A32" s="169">
        <v>45419</v>
      </c>
      <c r="B32" s="169" t="s">
        <v>455</v>
      </c>
      <c r="C32" s="170"/>
      <c r="D32" s="169"/>
      <c r="E32" s="370" t="s">
        <v>456</v>
      </c>
      <c r="F32" s="344"/>
      <c r="G32" s="345"/>
      <c r="H32" s="346"/>
      <c r="I32" s="347"/>
      <c r="J32" s="348"/>
      <c r="K32" s="175">
        <f>J$107-CDPS!F$132</f>
        <v>0</v>
      </c>
      <c r="L32" s="175">
        <f>J$107-CDPS!G$132</f>
        <v>0</v>
      </c>
      <c r="M32" s="169" t="str">
        <f t="shared" si="0"/>
        <v>-</v>
      </c>
      <c r="N32" s="356" t="str">
        <f t="shared" si="10"/>
        <v>-</v>
      </c>
      <c r="O32" s="176" t="str">
        <f t="shared" si="15"/>
        <v/>
      </c>
      <c r="P32" s="177" t="str">
        <f t="shared" si="16"/>
        <v/>
      </c>
      <c r="Q32" s="178" t="str">
        <f t="shared" si="17"/>
        <v>-</v>
      </c>
      <c r="R32" s="178" t="str">
        <f t="shared" si="18"/>
        <v>-</v>
      </c>
    </row>
    <row r="33" spans="1:18" ht="18.75" customHeight="1">
      <c r="A33" s="169">
        <v>45419</v>
      </c>
      <c r="B33" s="169" t="s">
        <v>455</v>
      </c>
      <c r="C33" s="170"/>
      <c r="D33" s="169"/>
      <c r="E33" s="171" t="s">
        <v>454</v>
      </c>
      <c r="F33" s="179"/>
      <c r="G33" s="179"/>
      <c r="H33" s="173"/>
      <c r="I33" s="173"/>
      <c r="J33" s="174"/>
      <c r="K33" s="175">
        <f>J$107-CDPS!F$132</f>
        <v>0</v>
      </c>
      <c r="L33" s="175">
        <f>J$107-CDPS!G$132</f>
        <v>0</v>
      </c>
      <c r="M33" s="169" t="str">
        <f t="shared" si="0"/>
        <v>-</v>
      </c>
      <c r="N33" s="356" t="str">
        <f t="shared" si="10"/>
        <v>-</v>
      </c>
      <c r="O33" s="176" t="str">
        <f t="shared" si="15"/>
        <v/>
      </c>
      <c r="P33" s="177" t="str">
        <f t="shared" si="16"/>
        <v/>
      </c>
      <c r="Q33" s="178" t="str">
        <f t="shared" si="17"/>
        <v>-</v>
      </c>
      <c r="R33" s="178" t="str">
        <f t="shared" si="18"/>
        <v>-</v>
      </c>
    </row>
    <row r="34" spans="1:18" ht="18.75" customHeight="1">
      <c r="A34" s="169"/>
      <c r="B34" s="169"/>
      <c r="C34" s="316"/>
      <c r="D34" s="315"/>
      <c r="E34" s="171"/>
      <c r="F34" s="172"/>
      <c r="G34" s="321"/>
      <c r="H34" s="173"/>
      <c r="I34" s="173"/>
      <c r="J34" s="183"/>
      <c r="K34" s="175">
        <f>J$107-CDPS!F$132</f>
        <v>0</v>
      </c>
      <c r="L34" s="175">
        <f>J$107-CDPS!G$132</f>
        <v>0</v>
      </c>
      <c r="M34" s="169" t="str">
        <f t="shared" si="0"/>
        <v>-</v>
      </c>
      <c r="N34" s="356" t="str">
        <f t="shared" si="10"/>
        <v>-</v>
      </c>
      <c r="O34" s="176" t="str">
        <f t="shared" si="15"/>
        <v/>
      </c>
      <c r="P34" s="177" t="str">
        <f t="shared" si="16"/>
        <v/>
      </c>
      <c r="Q34" s="178" t="str">
        <f t="shared" si="17"/>
        <v>-</v>
      </c>
      <c r="R34" s="178" t="str">
        <f t="shared" si="18"/>
        <v>-</v>
      </c>
    </row>
    <row r="35" spans="1:18" ht="18.75" customHeight="1">
      <c r="A35" s="169">
        <v>45419</v>
      </c>
      <c r="B35" s="169" t="s">
        <v>457</v>
      </c>
      <c r="C35" s="170"/>
      <c r="D35" s="169"/>
      <c r="E35" s="171" t="s">
        <v>458</v>
      </c>
      <c r="F35" s="180"/>
      <c r="G35" s="179"/>
      <c r="H35" s="173"/>
      <c r="I35" s="173"/>
      <c r="J35" s="174"/>
      <c r="K35" s="175">
        <f>J$107-CDPS!F$132</f>
        <v>0</v>
      </c>
      <c r="L35" s="175">
        <f>J$107-CDPS!G$132</f>
        <v>0</v>
      </c>
      <c r="M35" s="169" t="str">
        <f t="shared" si="0"/>
        <v>-</v>
      </c>
      <c r="N35" s="356" t="str">
        <f t="shared" si="10"/>
        <v>-</v>
      </c>
      <c r="O35" s="176" t="str">
        <f t="shared" si="15"/>
        <v/>
      </c>
      <c r="P35" s="177" t="str">
        <f t="shared" si="16"/>
        <v/>
      </c>
      <c r="Q35" s="178" t="str">
        <f t="shared" si="17"/>
        <v>-</v>
      </c>
      <c r="R35" s="178" t="str">
        <f t="shared" si="18"/>
        <v>-</v>
      </c>
    </row>
    <row r="36" spans="1:18" ht="18.75" customHeight="1">
      <c r="A36" s="169"/>
      <c r="B36" s="169"/>
      <c r="C36" s="170"/>
      <c r="D36" s="169"/>
      <c r="E36" s="171"/>
      <c r="F36" s="321"/>
      <c r="G36" s="185"/>
      <c r="H36" s="173"/>
      <c r="I36" s="173"/>
      <c r="J36" s="174"/>
      <c r="K36" s="175">
        <f>J$107-CDPS!F$132</f>
        <v>0</v>
      </c>
      <c r="L36" s="175">
        <f>J$107-CDPS!G$132</f>
        <v>0</v>
      </c>
      <c r="M36" s="169" t="str">
        <f t="shared" si="0"/>
        <v>-</v>
      </c>
      <c r="N36" s="356" t="str">
        <f t="shared" si="10"/>
        <v>-</v>
      </c>
      <c r="O36" s="176" t="str">
        <f t="shared" si="11"/>
        <v/>
      </c>
      <c r="P36" s="177" t="str">
        <f t="shared" si="12"/>
        <v/>
      </c>
      <c r="Q36" s="178" t="str">
        <f t="shared" si="13"/>
        <v>-</v>
      </c>
      <c r="R36" s="178" t="str">
        <f t="shared" si="14"/>
        <v>-</v>
      </c>
    </row>
    <row r="37" spans="1:18" ht="18.75" customHeight="1">
      <c r="A37" s="169">
        <v>45420</v>
      </c>
      <c r="B37" s="169" t="s">
        <v>461</v>
      </c>
      <c r="C37" s="170"/>
      <c r="D37" s="169"/>
      <c r="E37" s="171" t="s">
        <v>460</v>
      </c>
      <c r="F37" s="180"/>
      <c r="G37" s="179"/>
      <c r="H37" s="173"/>
      <c r="I37" s="173"/>
      <c r="J37" s="174"/>
      <c r="K37" s="175">
        <f>J$107-CDPS!F$132</f>
        <v>0</v>
      </c>
      <c r="L37" s="175">
        <f>J$107-CDPS!G$132</f>
        <v>0</v>
      </c>
      <c r="M37" s="169" t="str">
        <f t="shared" si="0"/>
        <v>-</v>
      </c>
      <c r="N37" s="356" t="str">
        <f t="shared" si="10"/>
        <v>-</v>
      </c>
      <c r="O37" s="176" t="str">
        <f t="shared" si="11"/>
        <v/>
      </c>
      <c r="P37" s="177" t="str">
        <f t="shared" si="12"/>
        <v/>
      </c>
      <c r="Q37" s="178" t="str">
        <f t="shared" si="13"/>
        <v>-</v>
      </c>
      <c r="R37" s="178" t="str">
        <f t="shared" si="14"/>
        <v>-</v>
      </c>
    </row>
    <row r="38" spans="1:18" ht="18.75" customHeight="1">
      <c r="A38" s="169"/>
      <c r="B38" s="169"/>
      <c r="C38" s="170"/>
      <c r="D38" s="169"/>
      <c r="E38" s="171"/>
      <c r="F38" s="185"/>
      <c r="G38" s="185"/>
      <c r="H38" s="173"/>
      <c r="I38" s="173"/>
      <c r="J38" s="174"/>
      <c r="K38" s="175">
        <f>J$107-CDPS!F$132</f>
        <v>0</v>
      </c>
      <c r="L38" s="175">
        <f>J$107-CDPS!G$132</f>
        <v>0</v>
      </c>
      <c r="M38" s="169" t="str">
        <f t="shared" si="0"/>
        <v>-</v>
      </c>
      <c r="N38" s="356" t="str">
        <f t="shared" si="10"/>
        <v>-</v>
      </c>
      <c r="O38" s="176" t="str">
        <f t="shared" si="11"/>
        <v/>
      </c>
      <c r="P38" s="177" t="str">
        <f t="shared" si="12"/>
        <v/>
      </c>
      <c r="Q38" s="178" t="str">
        <f t="shared" si="13"/>
        <v>-</v>
      </c>
      <c r="R38" s="178" t="str">
        <f t="shared" si="14"/>
        <v>-</v>
      </c>
    </row>
    <row r="39" spans="1:18" ht="18.75" customHeight="1">
      <c r="A39" s="169">
        <v>45427</v>
      </c>
      <c r="B39" s="169" t="s">
        <v>516</v>
      </c>
      <c r="C39" s="170"/>
      <c r="D39" s="169"/>
      <c r="E39" s="171" t="s">
        <v>463</v>
      </c>
      <c r="F39" s="189"/>
      <c r="G39" s="180"/>
      <c r="H39" s="182"/>
      <c r="I39" s="173"/>
      <c r="J39" s="183"/>
      <c r="K39" s="175">
        <f>J$107-CDPS!F$132</f>
        <v>0</v>
      </c>
      <c r="L39" s="175">
        <f>J$107-CDPS!G$132</f>
        <v>0</v>
      </c>
      <c r="M39" s="169" t="str">
        <f t="shared" si="0"/>
        <v>-</v>
      </c>
      <c r="N39" s="356" t="str">
        <f t="shared" si="10"/>
        <v>-</v>
      </c>
      <c r="O39" s="176" t="str">
        <f t="shared" si="11"/>
        <v/>
      </c>
      <c r="P39" s="177" t="str">
        <f t="shared" si="12"/>
        <v/>
      </c>
      <c r="Q39" s="178" t="str">
        <f t="shared" si="13"/>
        <v>-</v>
      </c>
      <c r="R39" s="178" t="str">
        <f t="shared" si="14"/>
        <v>-</v>
      </c>
    </row>
    <row r="40" spans="1:18" ht="18.75" customHeight="1">
      <c r="A40" s="169"/>
      <c r="B40" s="169"/>
      <c r="C40" s="170"/>
      <c r="D40" s="169"/>
      <c r="E40" s="171"/>
      <c r="F40" s="185"/>
      <c r="G40" s="184"/>
      <c r="H40" s="182"/>
      <c r="I40" s="173"/>
      <c r="J40" s="183"/>
      <c r="K40" s="175">
        <f>J$107-CDPS!F$132</f>
        <v>0</v>
      </c>
      <c r="L40" s="175">
        <f>J$107-CDPS!G$132</f>
        <v>0</v>
      </c>
      <c r="M40" s="169" t="str">
        <f t="shared" si="0"/>
        <v>-</v>
      </c>
      <c r="N40" s="356" t="str">
        <f t="shared" si="10"/>
        <v>-</v>
      </c>
      <c r="O40" s="176" t="str">
        <f t="shared" si="11"/>
        <v/>
      </c>
      <c r="P40" s="177" t="str">
        <f t="shared" si="12"/>
        <v/>
      </c>
      <c r="Q40" s="178" t="str">
        <f t="shared" si="13"/>
        <v>-</v>
      </c>
      <c r="R40" s="178" t="str">
        <f t="shared" si="14"/>
        <v>-</v>
      </c>
    </row>
    <row r="41" spans="1:18" ht="18.75" customHeight="1">
      <c r="A41" s="169">
        <v>45440</v>
      </c>
      <c r="B41" s="169" t="s">
        <v>505</v>
      </c>
      <c r="C41" s="170"/>
      <c r="D41" s="169"/>
      <c r="E41" s="171" t="s">
        <v>520</v>
      </c>
      <c r="F41" s="180"/>
      <c r="G41" s="180"/>
      <c r="H41" s="182"/>
      <c r="I41" s="173"/>
      <c r="J41" s="183"/>
      <c r="K41" s="175">
        <f>J$107-CDPS!F$132</f>
        <v>0</v>
      </c>
      <c r="L41" s="175">
        <f>J$107-CDPS!G$132</f>
        <v>0</v>
      </c>
      <c r="M41" s="169" t="str">
        <f t="shared" si="0"/>
        <v>-</v>
      </c>
      <c r="N41" s="356" t="str">
        <f t="shared" si="10"/>
        <v>-</v>
      </c>
      <c r="O41" s="176" t="str">
        <f t="shared" si="11"/>
        <v/>
      </c>
      <c r="P41" s="177" t="str">
        <f t="shared" si="12"/>
        <v/>
      </c>
      <c r="Q41" s="178" t="str">
        <f t="shared" si="13"/>
        <v>-</v>
      </c>
      <c r="R41" s="178" t="str">
        <f t="shared" si="14"/>
        <v>-</v>
      </c>
    </row>
    <row r="42" spans="1:18" ht="18.75" customHeight="1">
      <c r="A42" s="169">
        <v>45440</v>
      </c>
      <c r="B42" s="169" t="s">
        <v>505</v>
      </c>
      <c r="C42" s="170"/>
      <c r="D42" s="169"/>
      <c r="E42" s="171" t="s">
        <v>521</v>
      </c>
      <c r="F42" s="180"/>
      <c r="G42" s="180"/>
      <c r="H42" s="182"/>
      <c r="I42" s="173"/>
      <c r="J42" s="183"/>
      <c r="K42" s="175">
        <f>J$107-CDPS!F$132</f>
        <v>0</v>
      </c>
      <c r="L42" s="175">
        <f>J$107-CDPS!G$132</f>
        <v>0</v>
      </c>
      <c r="M42" s="169" t="str">
        <f t="shared" si="0"/>
        <v>-</v>
      </c>
      <c r="N42" s="356" t="str">
        <f t="shared" si="10"/>
        <v>-</v>
      </c>
      <c r="O42" s="176" t="str">
        <f t="shared" si="11"/>
        <v/>
      </c>
      <c r="P42" s="177" t="str">
        <f t="shared" si="12"/>
        <v/>
      </c>
      <c r="Q42" s="178" t="str">
        <f t="shared" si="13"/>
        <v>-</v>
      </c>
      <c r="R42" s="178" t="str">
        <f t="shared" si="14"/>
        <v>-</v>
      </c>
    </row>
    <row r="43" spans="1:18" ht="18.75" customHeight="1">
      <c r="A43" s="169">
        <v>45440</v>
      </c>
      <c r="B43" s="169" t="s">
        <v>505</v>
      </c>
      <c r="C43" s="170"/>
      <c r="D43" s="169"/>
      <c r="E43" s="171" t="s">
        <v>522</v>
      </c>
      <c r="F43" s="179"/>
      <c r="G43" s="180"/>
      <c r="H43" s="182"/>
      <c r="I43" s="173"/>
      <c r="J43" s="183"/>
      <c r="K43" s="175">
        <f>J$107-CDPS!F$132</f>
        <v>0</v>
      </c>
      <c r="L43" s="175">
        <f>J$107-CDPS!G$132</f>
        <v>0</v>
      </c>
      <c r="M43" s="169" t="str">
        <f t="shared" si="0"/>
        <v>-</v>
      </c>
      <c r="N43" s="356" t="str">
        <f t="shared" si="10"/>
        <v>-</v>
      </c>
      <c r="O43" s="176" t="str">
        <f t="shared" si="11"/>
        <v/>
      </c>
      <c r="P43" s="177" t="str">
        <f t="shared" si="12"/>
        <v/>
      </c>
      <c r="Q43" s="178" t="str">
        <f t="shared" si="13"/>
        <v>-</v>
      </c>
      <c r="R43" s="178" t="str">
        <f t="shared" si="14"/>
        <v>-</v>
      </c>
    </row>
    <row r="44" spans="1:18" ht="18.75" customHeight="1">
      <c r="A44" s="169"/>
      <c r="B44" s="169"/>
      <c r="C44" s="170"/>
      <c r="D44" s="169"/>
      <c r="E44" s="171"/>
      <c r="F44" s="179"/>
      <c r="G44" s="180"/>
      <c r="H44" s="182"/>
      <c r="I44" s="173"/>
      <c r="J44" s="183"/>
      <c r="K44" s="175">
        <f>J$107-CDPS!F$132</f>
        <v>0</v>
      </c>
      <c r="L44" s="175">
        <f>J$107-CDPS!G$132</f>
        <v>0</v>
      </c>
      <c r="M44" s="169" t="str">
        <f t="shared" si="0"/>
        <v>-</v>
      </c>
      <c r="N44" s="356" t="str">
        <f t="shared" si="10"/>
        <v>-</v>
      </c>
      <c r="O44" s="176" t="str">
        <f t="shared" si="11"/>
        <v/>
      </c>
      <c r="P44" s="177" t="str">
        <f t="shared" si="12"/>
        <v/>
      </c>
      <c r="Q44" s="178" t="str">
        <f t="shared" si="13"/>
        <v>-</v>
      </c>
      <c r="R44" s="178" t="str">
        <f t="shared" si="14"/>
        <v>-</v>
      </c>
    </row>
    <row r="45" spans="1:18" ht="18.75" customHeight="1">
      <c r="A45" s="169">
        <v>45442</v>
      </c>
      <c r="B45" s="169" t="s">
        <v>513</v>
      </c>
      <c r="C45" s="170"/>
      <c r="D45" s="169"/>
      <c r="E45" s="1" t="s">
        <v>485</v>
      </c>
      <c r="F45" s="180"/>
      <c r="G45" s="184"/>
      <c r="H45" s="182"/>
      <c r="I45" s="173"/>
      <c r="J45" s="183"/>
      <c r="K45" s="175">
        <f>J$107-CDPS!F$132</f>
        <v>0</v>
      </c>
      <c r="L45" s="175">
        <f>J$107-CDPS!G$132</f>
        <v>0</v>
      </c>
      <c r="M45" s="169" t="str">
        <f t="shared" si="0"/>
        <v>-</v>
      </c>
      <c r="N45" s="356" t="str">
        <f t="shared" si="10"/>
        <v>-</v>
      </c>
      <c r="O45" s="176" t="str">
        <f t="shared" si="11"/>
        <v/>
      </c>
      <c r="P45" s="177" t="str">
        <f t="shared" si="12"/>
        <v/>
      </c>
      <c r="Q45" s="178" t="str">
        <f t="shared" si="13"/>
        <v>-</v>
      </c>
      <c r="R45" s="178" t="str">
        <f t="shared" si="14"/>
        <v>-</v>
      </c>
    </row>
    <row r="46" spans="1:18" ht="18.75" customHeight="1">
      <c r="A46" s="169"/>
      <c r="B46" s="169"/>
      <c r="C46" s="170"/>
      <c r="D46" s="169"/>
      <c r="E46" s="171"/>
      <c r="F46" s="185"/>
      <c r="G46" s="184"/>
      <c r="H46" s="182"/>
      <c r="I46" s="173"/>
      <c r="J46" s="183"/>
      <c r="K46" s="175">
        <f>J$107-CDPS!F$132</f>
        <v>0</v>
      </c>
      <c r="L46" s="175">
        <f>J$107-CDPS!G$132</f>
        <v>0</v>
      </c>
      <c r="M46" s="169" t="str">
        <f t="shared" si="0"/>
        <v>-</v>
      </c>
      <c r="N46" s="356" t="str">
        <f t="shared" si="10"/>
        <v>-</v>
      </c>
      <c r="O46" s="176" t="str">
        <f t="shared" si="11"/>
        <v/>
      </c>
      <c r="P46" s="177" t="str">
        <f t="shared" si="12"/>
        <v/>
      </c>
      <c r="Q46" s="178" t="str">
        <f t="shared" si="13"/>
        <v>-</v>
      </c>
      <c r="R46" s="178" t="str">
        <f t="shared" si="14"/>
        <v>-</v>
      </c>
    </row>
    <row r="47" spans="1:18" ht="18.75" customHeight="1">
      <c r="A47" s="169">
        <v>45443</v>
      </c>
      <c r="B47" s="169" t="s">
        <v>473</v>
      </c>
      <c r="C47" s="170"/>
      <c r="D47" s="169"/>
      <c r="E47" s="171" t="s">
        <v>525</v>
      </c>
      <c r="F47" s="180"/>
      <c r="G47" s="179"/>
      <c r="H47" s="182"/>
      <c r="I47" s="173"/>
      <c r="J47" s="183"/>
      <c r="K47" s="175">
        <f>J$107-CDPS!F$132</f>
        <v>0</v>
      </c>
      <c r="L47" s="175">
        <f>J$107-CDPS!G$132</f>
        <v>0</v>
      </c>
      <c r="M47" s="169" t="str">
        <f t="shared" si="0"/>
        <v>-</v>
      </c>
      <c r="N47" s="356" t="str">
        <f t="shared" si="10"/>
        <v>-</v>
      </c>
      <c r="O47" s="176" t="str">
        <f t="shared" si="11"/>
        <v/>
      </c>
      <c r="P47" s="177" t="str">
        <f t="shared" si="12"/>
        <v/>
      </c>
      <c r="Q47" s="178" t="str">
        <f t="shared" si="13"/>
        <v>-</v>
      </c>
      <c r="R47" s="178" t="str">
        <f t="shared" si="14"/>
        <v>-</v>
      </c>
    </row>
    <row r="48" spans="1:18" ht="18.75" customHeight="1">
      <c r="A48" s="169">
        <v>45443</v>
      </c>
      <c r="B48" s="169" t="s">
        <v>473</v>
      </c>
      <c r="C48" s="170"/>
      <c r="D48" s="169"/>
      <c r="E48" s="171" t="s">
        <v>526</v>
      </c>
      <c r="F48" s="180"/>
      <c r="G48" s="179"/>
      <c r="H48" s="182"/>
      <c r="I48" s="173"/>
      <c r="J48" s="183"/>
      <c r="K48" s="175">
        <f>J$107-CDPS!F$132</f>
        <v>0</v>
      </c>
      <c r="L48" s="175">
        <f>J$107-CDPS!G$132</f>
        <v>0</v>
      </c>
      <c r="M48" s="169" t="str">
        <f t="shared" si="0"/>
        <v>-</v>
      </c>
      <c r="N48" s="356" t="str">
        <f t="shared" si="10"/>
        <v>-</v>
      </c>
      <c r="O48" s="176" t="str">
        <f t="shared" si="11"/>
        <v/>
      </c>
      <c r="P48" s="177" t="str">
        <f t="shared" si="12"/>
        <v/>
      </c>
      <c r="Q48" s="178" t="str">
        <f t="shared" si="13"/>
        <v>-</v>
      </c>
      <c r="R48" s="178" t="str">
        <f t="shared" si="14"/>
        <v>-</v>
      </c>
    </row>
    <row r="49" spans="1:18" ht="18.75" customHeight="1">
      <c r="A49" s="169"/>
      <c r="B49" s="169"/>
      <c r="C49" s="170"/>
      <c r="D49" s="169"/>
      <c r="E49" s="171"/>
      <c r="F49" s="185"/>
      <c r="G49" s="184"/>
      <c r="H49" s="182"/>
      <c r="I49" s="173"/>
      <c r="J49" s="183"/>
      <c r="K49" s="175">
        <f>J$107-CDPS!F$132</f>
        <v>0</v>
      </c>
      <c r="L49" s="175">
        <f>J$107-CDPS!G$132</f>
        <v>0</v>
      </c>
      <c r="M49" s="169" t="str">
        <f t="shared" si="0"/>
        <v>-</v>
      </c>
      <c r="N49" s="356" t="str">
        <f t="shared" si="10"/>
        <v>-</v>
      </c>
      <c r="O49" s="176" t="str">
        <f t="shared" si="11"/>
        <v/>
      </c>
      <c r="P49" s="177" t="str">
        <f t="shared" si="12"/>
        <v/>
      </c>
      <c r="Q49" s="178" t="str">
        <f t="shared" si="13"/>
        <v>-</v>
      </c>
      <c r="R49" s="178" t="str">
        <f t="shared" si="14"/>
        <v>-</v>
      </c>
    </row>
    <row r="50" spans="1:18" ht="18.75" customHeight="1">
      <c r="A50" s="169">
        <v>45443</v>
      </c>
      <c r="B50" s="169" t="s">
        <v>473</v>
      </c>
      <c r="C50" s="170"/>
      <c r="D50" s="169"/>
      <c r="E50" s="171" t="s">
        <v>472</v>
      </c>
      <c r="F50" s="180"/>
      <c r="G50" s="179"/>
      <c r="H50" s="182"/>
      <c r="I50" s="173"/>
      <c r="J50" s="183"/>
      <c r="K50" s="175">
        <f>J$107-CDPS!F$132</f>
        <v>0</v>
      </c>
      <c r="L50" s="175">
        <f>J$107-CDPS!G$132</f>
        <v>0</v>
      </c>
      <c r="M50" s="169" t="str">
        <f t="shared" si="0"/>
        <v>-</v>
      </c>
      <c r="N50" s="356" t="str">
        <f t="shared" si="10"/>
        <v>-</v>
      </c>
      <c r="O50" s="176" t="str">
        <f t="shared" si="11"/>
        <v/>
      </c>
      <c r="P50" s="177" t="str">
        <f t="shared" si="12"/>
        <v/>
      </c>
      <c r="Q50" s="178" t="str">
        <f t="shared" si="13"/>
        <v>-</v>
      </c>
      <c r="R50" s="178" t="str">
        <f t="shared" si="14"/>
        <v>-</v>
      </c>
    </row>
    <row r="51" spans="1:18" ht="18.75" customHeight="1">
      <c r="A51" s="169">
        <v>45443</v>
      </c>
      <c r="B51" s="169" t="s">
        <v>473</v>
      </c>
      <c r="C51" s="170"/>
      <c r="D51" s="169"/>
      <c r="E51" s="171" t="s">
        <v>472</v>
      </c>
      <c r="F51" s="180"/>
      <c r="G51" s="179"/>
      <c r="H51" s="182"/>
      <c r="I51" s="173"/>
      <c r="J51" s="183"/>
      <c r="K51" s="175">
        <f>J$107-CDPS!F$132</f>
        <v>0</v>
      </c>
      <c r="L51" s="175">
        <f>J$107-CDPS!G$132</f>
        <v>0</v>
      </c>
      <c r="M51" s="169" t="str">
        <f t="shared" si="0"/>
        <v>-</v>
      </c>
      <c r="N51" s="356" t="str">
        <f t="shared" si="10"/>
        <v>-</v>
      </c>
      <c r="O51" s="176" t="str">
        <f t="shared" si="11"/>
        <v/>
      </c>
      <c r="P51" s="177" t="str">
        <f t="shared" si="12"/>
        <v/>
      </c>
      <c r="Q51" s="178" t="str">
        <f t="shared" si="13"/>
        <v>-</v>
      </c>
      <c r="R51" s="178" t="str">
        <f t="shared" si="14"/>
        <v>-</v>
      </c>
    </row>
    <row r="52" spans="1:18" ht="18.75" customHeight="1">
      <c r="A52" s="169"/>
      <c r="B52" s="169"/>
      <c r="C52" s="170"/>
      <c r="D52" s="169"/>
      <c r="E52" s="171"/>
      <c r="F52" s="184"/>
      <c r="G52" s="184"/>
      <c r="H52" s="182"/>
      <c r="I52" s="173"/>
      <c r="J52" s="183"/>
      <c r="K52" s="175">
        <f>J$107-CDPS!F$132</f>
        <v>0</v>
      </c>
      <c r="L52" s="175">
        <f>J$107-CDPS!G$132</f>
        <v>0</v>
      </c>
      <c r="M52" s="169" t="str">
        <f t="shared" si="0"/>
        <v>-</v>
      </c>
      <c r="N52" s="356" t="str">
        <f t="shared" si="10"/>
        <v>-</v>
      </c>
      <c r="O52" s="176" t="str">
        <f t="shared" si="11"/>
        <v/>
      </c>
      <c r="P52" s="177" t="str">
        <f t="shared" si="12"/>
        <v/>
      </c>
      <c r="Q52" s="178" t="str">
        <f t="shared" si="13"/>
        <v>-</v>
      </c>
      <c r="R52" s="178" t="str">
        <f t="shared" si="14"/>
        <v>-</v>
      </c>
    </row>
    <row r="53" spans="1:18" ht="18.75" customHeight="1">
      <c r="A53" s="169">
        <v>45443</v>
      </c>
      <c r="B53" s="354" t="s">
        <v>517</v>
      </c>
      <c r="C53" s="170"/>
      <c r="D53" s="169"/>
      <c r="E53" s="171" t="s">
        <v>538</v>
      </c>
      <c r="F53" s="189"/>
      <c r="G53" s="180"/>
      <c r="H53" s="173"/>
      <c r="I53" s="173"/>
      <c r="J53" s="174"/>
      <c r="K53" s="175">
        <f>J$107-CDPS!F$132</f>
        <v>0</v>
      </c>
      <c r="L53" s="175">
        <f>J$107-CDPS!G$132</f>
        <v>0</v>
      </c>
      <c r="M53" s="169" t="str">
        <f t="shared" si="0"/>
        <v>-</v>
      </c>
      <c r="N53" s="356" t="str">
        <f t="shared" si="10"/>
        <v>-</v>
      </c>
      <c r="O53" s="176" t="str">
        <f t="shared" si="11"/>
        <v/>
      </c>
      <c r="P53" s="177" t="str">
        <f t="shared" si="12"/>
        <v/>
      </c>
      <c r="Q53" s="178" t="str">
        <f t="shared" si="13"/>
        <v>-</v>
      </c>
      <c r="R53" s="178" t="str">
        <f t="shared" si="14"/>
        <v>-</v>
      </c>
    </row>
    <row r="54" spans="1:18" ht="18.75" customHeight="1">
      <c r="A54" s="169"/>
      <c r="B54" s="169"/>
      <c r="C54" s="170"/>
      <c r="D54" s="169"/>
      <c r="E54" s="171"/>
      <c r="F54" s="184"/>
      <c r="G54" s="179"/>
      <c r="H54" s="182"/>
      <c r="I54" s="182"/>
      <c r="J54" s="183"/>
      <c r="K54" s="175">
        <f>J$107-CDPS!F$132</f>
        <v>0</v>
      </c>
      <c r="L54" s="175">
        <f>J$107-CDPS!G$132</f>
        <v>0</v>
      </c>
      <c r="M54" s="169" t="str">
        <f t="shared" si="0"/>
        <v>-</v>
      </c>
      <c r="N54" s="356" t="str">
        <f t="shared" si="10"/>
        <v>-</v>
      </c>
      <c r="O54" s="176" t="str">
        <f t="shared" si="11"/>
        <v/>
      </c>
      <c r="P54" s="177" t="str">
        <f t="shared" si="12"/>
        <v/>
      </c>
      <c r="Q54" s="178" t="str">
        <f t="shared" si="13"/>
        <v>-</v>
      </c>
      <c r="R54" s="178" t="str">
        <f t="shared" si="14"/>
        <v>-</v>
      </c>
    </row>
    <row r="55" spans="1:18" ht="18.75" customHeight="1">
      <c r="A55" s="169">
        <v>45443</v>
      </c>
      <c r="B55" s="169" t="s">
        <v>483</v>
      </c>
      <c r="C55" s="170"/>
      <c r="D55" s="169"/>
      <c r="E55" s="171" t="s">
        <v>523</v>
      </c>
      <c r="F55" s="180"/>
      <c r="G55" s="189"/>
      <c r="H55" s="182"/>
      <c r="I55" s="182"/>
      <c r="J55" s="183"/>
      <c r="K55" s="175">
        <f>J$107-CDPS!F$132</f>
        <v>0</v>
      </c>
      <c r="L55" s="175">
        <f>J$107-CDPS!G$132</f>
        <v>0</v>
      </c>
      <c r="M55" s="169" t="str">
        <f t="shared" si="0"/>
        <v>-</v>
      </c>
      <c r="N55" s="356" t="str">
        <f t="shared" si="10"/>
        <v>-</v>
      </c>
      <c r="O55" s="176" t="str">
        <f t="shared" si="11"/>
        <v/>
      </c>
      <c r="P55" s="177" t="str">
        <f t="shared" si="12"/>
        <v/>
      </c>
      <c r="Q55" s="178" t="str">
        <f t="shared" si="13"/>
        <v>-</v>
      </c>
      <c r="R55" s="178" t="str">
        <f t="shared" si="14"/>
        <v>-</v>
      </c>
    </row>
    <row r="56" spans="1:18" ht="18.75" customHeight="1">
      <c r="A56" s="169">
        <v>45443</v>
      </c>
      <c r="B56" s="169" t="s">
        <v>483</v>
      </c>
      <c r="C56" s="170"/>
      <c r="D56" s="169"/>
      <c r="E56" s="171" t="s">
        <v>524</v>
      </c>
      <c r="F56" s="180"/>
      <c r="G56" s="189"/>
      <c r="H56" s="182"/>
      <c r="I56" s="182"/>
      <c r="J56" s="183"/>
      <c r="K56" s="175">
        <f>J$107-CDPS!F$132</f>
        <v>0</v>
      </c>
      <c r="L56" s="175">
        <f>J$107-CDPS!G$132</f>
        <v>0</v>
      </c>
      <c r="M56" s="169" t="str">
        <f t="shared" si="0"/>
        <v>-</v>
      </c>
      <c r="N56" s="356" t="str">
        <f t="shared" si="10"/>
        <v>-</v>
      </c>
      <c r="O56" s="176" t="str">
        <f t="shared" si="11"/>
        <v/>
      </c>
      <c r="P56" s="177" t="str">
        <f t="shared" si="12"/>
        <v/>
      </c>
      <c r="Q56" s="178" t="str">
        <f t="shared" si="13"/>
        <v>-</v>
      </c>
      <c r="R56" s="178" t="str">
        <f t="shared" si="14"/>
        <v>-</v>
      </c>
    </row>
    <row r="57" spans="1:18" ht="18.75" customHeight="1">
      <c r="A57" s="169"/>
      <c r="B57" s="169"/>
      <c r="C57" s="170"/>
      <c r="D57" s="169"/>
      <c r="E57" s="171"/>
      <c r="F57" s="185"/>
      <c r="G57" s="189"/>
      <c r="H57" s="182"/>
      <c r="I57" s="182"/>
      <c r="J57" s="183"/>
      <c r="K57" s="175">
        <f>J$107-CDPS!F$132</f>
        <v>0</v>
      </c>
      <c r="L57" s="175">
        <f>J$107-CDPS!G$132</f>
        <v>0</v>
      </c>
      <c r="M57" s="169" t="str">
        <f t="shared" si="0"/>
        <v>-</v>
      </c>
      <c r="N57" s="356" t="str">
        <f t="shared" si="10"/>
        <v>-</v>
      </c>
      <c r="O57" s="176" t="str">
        <f t="shared" si="11"/>
        <v/>
      </c>
      <c r="P57" s="177" t="str">
        <f t="shared" si="12"/>
        <v/>
      </c>
      <c r="Q57" s="178" t="str">
        <f t="shared" si="13"/>
        <v>-</v>
      </c>
      <c r="R57" s="178" t="str">
        <f t="shared" si="14"/>
        <v>-</v>
      </c>
    </row>
    <row r="58" spans="1:18" ht="18.75" customHeight="1">
      <c r="A58" s="169">
        <v>45443</v>
      </c>
      <c r="B58" s="169" t="s">
        <v>484</v>
      </c>
      <c r="C58" s="316"/>
      <c r="D58" s="315"/>
      <c r="E58" s="171" t="s">
        <v>474</v>
      </c>
      <c r="F58" s="180"/>
      <c r="G58" s="189"/>
      <c r="H58" s="323"/>
      <c r="I58" s="323"/>
      <c r="J58" s="183"/>
      <c r="K58" s="175">
        <f>J$107-CDPS!F$132</f>
        <v>0</v>
      </c>
      <c r="L58" s="175">
        <f>J$107-CDPS!G$132</f>
        <v>0</v>
      </c>
      <c r="M58" s="169" t="str">
        <f t="shared" si="0"/>
        <v>-</v>
      </c>
      <c r="N58" s="356" t="str">
        <f t="shared" si="10"/>
        <v>-</v>
      </c>
      <c r="O58" s="176" t="str">
        <f t="shared" si="11"/>
        <v/>
      </c>
      <c r="P58" s="177" t="str">
        <f t="shared" si="12"/>
        <v/>
      </c>
      <c r="Q58" s="178" t="str">
        <f t="shared" si="13"/>
        <v>-</v>
      </c>
      <c r="R58" s="178" t="str">
        <f t="shared" si="14"/>
        <v>-</v>
      </c>
    </row>
    <row r="59" spans="1:18" ht="18.75" customHeight="1">
      <c r="A59" s="169">
        <v>45443</v>
      </c>
      <c r="B59" s="169" t="s">
        <v>484</v>
      </c>
      <c r="C59" s="170"/>
      <c r="D59" s="169"/>
      <c r="E59" s="171" t="s">
        <v>475</v>
      </c>
      <c r="F59" s="180"/>
      <c r="G59" s="189"/>
      <c r="H59" s="182"/>
      <c r="I59" s="182"/>
      <c r="J59" s="183"/>
      <c r="K59" s="175">
        <f>J$107-CDPS!F$132</f>
        <v>0</v>
      </c>
      <c r="L59" s="175">
        <f>J$107-CDPS!G$132</f>
        <v>0</v>
      </c>
      <c r="M59" s="169" t="str">
        <f t="shared" si="0"/>
        <v>-</v>
      </c>
      <c r="N59" s="356" t="str">
        <f t="shared" si="10"/>
        <v>-</v>
      </c>
      <c r="O59" s="176" t="str">
        <f t="shared" si="11"/>
        <v/>
      </c>
      <c r="P59" s="177" t="str">
        <f t="shared" si="12"/>
        <v/>
      </c>
      <c r="Q59" s="178" t="str">
        <f t="shared" si="13"/>
        <v>-</v>
      </c>
      <c r="R59" s="178" t="str">
        <f t="shared" si="14"/>
        <v>-</v>
      </c>
    </row>
    <row r="60" spans="1:18" ht="18.75" customHeight="1">
      <c r="A60" s="169"/>
      <c r="B60" s="169"/>
      <c r="C60" s="170"/>
      <c r="D60" s="169"/>
      <c r="E60" s="171"/>
      <c r="F60" s="185"/>
      <c r="G60" s="189"/>
      <c r="H60" s="182"/>
      <c r="I60" s="173"/>
      <c r="J60" s="183"/>
      <c r="K60" s="175">
        <f>J$107-CDPS!F$132</f>
        <v>0</v>
      </c>
      <c r="L60" s="175">
        <f>J$107-CDPS!G$132</f>
        <v>0</v>
      </c>
      <c r="M60" s="169" t="str">
        <f t="shared" si="0"/>
        <v>-</v>
      </c>
      <c r="N60" s="356" t="str">
        <f t="shared" si="10"/>
        <v>-</v>
      </c>
      <c r="O60" s="176" t="str">
        <f t="shared" si="11"/>
        <v/>
      </c>
      <c r="P60" s="177" t="str">
        <f t="shared" si="12"/>
        <v/>
      </c>
      <c r="Q60" s="178" t="str">
        <f t="shared" si="13"/>
        <v>-</v>
      </c>
      <c r="R60" s="178" t="str">
        <f t="shared" si="14"/>
        <v>-</v>
      </c>
    </row>
    <row r="61" spans="1:18" ht="18.75" customHeight="1">
      <c r="A61" s="169">
        <v>45443</v>
      </c>
      <c r="B61" s="169" t="s">
        <v>484</v>
      </c>
      <c r="C61" s="170"/>
      <c r="D61" s="169"/>
      <c r="E61" s="171" t="s">
        <v>476</v>
      </c>
      <c r="F61" s="180"/>
      <c r="G61" s="185"/>
      <c r="H61" s="182"/>
      <c r="I61" s="173"/>
      <c r="J61" s="183"/>
      <c r="K61" s="175">
        <f>J$107-CDPS!F$132</f>
        <v>0</v>
      </c>
      <c r="L61" s="175">
        <f>J$107-CDPS!G$132</f>
        <v>0</v>
      </c>
      <c r="M61" s="169" t="str">
        <f t="shared" si="0"/>
        <v>-</v>
      </c>
      <c r="N61" s="356" t="str">
        <f t="shared" si="10"/>
        <v>-</v>
      </c>
      <c r="O61" s="176" t="str">
        <f t="shared" si="11"/>
        <v/>
      </c>
      <c r="P61" s="177" t="str">
        <f t="shared" si="12"/>
        <v/>
      </c>
      <c r="Q61" s="178" t="str">
        <f t="shared" si="13"/>
        <v>-</v>
      </c>
      <c r="R61" s="178" t="str">
        <f t="shared" si="14"/>
        <v>-</v>
      </c>
    </row>
    <row r="62" spans="1:18" ht="18.75" customHeight="1">
      <c r="A62" s="169">
        <v>45443</v>
      </c>
      <c r="B62" s="169" t="s">
        <v>484</v>
      </c>
      <c r="C62" s="170"/>
      <c r="D62" s="169"/>
      <c r="E62" s="171" t="s">
        <v>477</v>
      </c>
      <c r="F62" s="180"/>
      <c r="G62" s="185"/>
      <c r="H62" s="182"/>
      <c r="I62" s="173"/>
      <c r="J62" s="183"/>
      <c r="K62" s="175">
        <f>J$107-CDPS!F$132</f>
        <v>0</v>
      </c>
      <c r="L62" s="175">
        <f>J$107-CDPS!G$132</f>
        <v>0</v>
      </c>
      <c r="M62" s="169" t="str">
        <f t="shared" si="0"/>
        <v>-</v>
      </c>
      <c r="N62" s="356" t="str">
        <f t="shared" si="10"/>
        <v>-</v>
      </c>
      <c r="O62" s="176" t="str">
        <f t="shared" si="11"/>
        <v/>
      </c>
      <c r="P62" s="177" t="str">
        <f t="shared" si="12"/>
        <v/>
      </c>
      <c r="Q62" s="178" t="str">
        <f t="shared" si="13"/>
        <v>-</v>
      </c>
      <c r="R62" s="178" t="str">
        <f t="shared" si="14"/>
        <v>-</v>
      </c>
    </row>
    <row r="63" spans="1:18" ht="18.75" customHeight="1">
      <c r="A63" s="169"/>
      <c r="B63" s="169"/>
      <c r="C63" s="170"/>
      <c r="D63" s="169"/>
      <c r="E63" s="171"/>
      <c r="F63" s="184"/>
      <c r="G63" s="185"/>
      <c r="H63" s="182"/>
      <c r="I63" s="173"/>
      <c r="J63" s="183"/>
      <c r="K63" s="175">
        <f>J$107-CDPS!F$132</f>
        <v>0</v>
      </c>
      <c r="L63" s="175">
        <f>J$107-CDPS!G$132</f>
        <v>0</v>
      </c>
      <c r="M63" s="169" t="str">
        <f t="shared" si="0"/>
        <v>-</v>
      </c>
      <c r="N63" s="356" t="str">
        <f t="shared" si="10"/>
        <v>-</v>
      </c>
      <c r="O63" s="176" t="str">
        <f t="shared" si="11"/>
        <v/>
      </c>
      <c r="P63" s="177" t="str">
        <f t="shared" si="12"/>
        <v/>
      </c>
      <c r="Q63" s="178" t="str">
        <f t="shared" si="13"/>
        <v>-</v>
      </c>
      <c r="R63" s="178" t="str">
        <f t="shared" si="14"/>
        <v>-</v>
      </c>
    </row>
    <row r="64" spans="1:18" ht="18.75" customHeight="1">
      <c r="A64" s="169">
        <v>45443</v>
      </c>
      <c r="B64" s="169" t="s">
        <v>484</v>
      </c>
      <c r="C64" s="170"/>
      <c r="D64" s="169"/>
      <c r="E64" s="171" t="s">
        <v>478</v>
      </c>
      <c r="F64" s="180"/>
      <c r="G64" s="185"/>
      <c r="H64" s="182"/>
      <c r="I64" s="173"/>
      <c r="J64" s="183"/>
      <c r="K64" s="175">
        <f>J$107-CDPS!F$132</f>
        <v>0</v>
      </c>
      <c r="L64" s="175">
        <f>J$107-CDPS!G$132</f>
        <v>0</v>
      </c>
      <c r="M64" s="169" t="str">
        <f t="shared" si="0"/>
        <v>-</v>
      </c>
      <c r="N64" s="356" t="str">
        <f t="shared" si="10"/>
        <v>-</v>
      </c>
      <c r="O64" s="176" t="str">
        <f t="shared" si="11"/>
        <v/>
      </c>
      <c r="P64" s="177" t="str">
        <f t="shared" si="12"/>
        <v/>
      </c>
      <c r="Q64" s="178" t="str">
        <f t="shared" si="13"/>
        <v>-</v>
      </c>
      <c r="R64" s="178" t="str">
        <f t="shared" si="14"/>
        <v>-</v>
      </c>
    </row>
    <row r="65" spans="1:18" ht="18.75" customHeight="1">
      <c r="A65" s="169">
        <v>45443</v>
      </c>
      <c r="B65" s="169" t="s">
        <v>484</v>
      </c>
      <c r="C65" s="170"/>
      <c r="D65" s="169"/>
      <c r="E65" s="171" t="s">
        <v>479</v>
      </c>
      <c r="F65" s="180"/>
      <c r="G65" s="185"/>
      <c r="H65" s="182"/>
      <c r="I65" s="173"/>
      <c r="J65" s="183"/>
      <c r="K65" s="175">
        <f>J$107-CDPS!F$132</f>
        <v>0</v>
      </c>
      <c r="L65" s="175">
        <f>J$107-CDPS!G$132</f>
        <v>0</v>
      </c>
      <c r="M65" s="169" t="str">
        <f t="shared" si="0"/>
        <v>-</v>
      </c>
      <c r="N65" s="356" t="str">
        <f t="shared" si="10"/>
        <v>-</v>
      </c>
      <c r="O65" s="176" t="str">
        <f t="shared" ref="O65:O75" si="19">IF(P65&lt;&gt;"",$E65,"")</f>
        <v/>
      </c>
      <c r="P65" s="177" t="str">
        <f t="shared" ref="P65:P75" si="20">IF(LEFT(Q$6,R$5)=LEFT($F65,R$5),$G65,"")&amp;IF(LEFT(Q$6,R$5)=LEFT($G65,R$5),$F65,"")</f>
        <v/>
      </c>
      <c r="Q65" s="178" t="str">
        <f t="shared" ref="Q65:Q75" si="21">IF(LEFT(Q$6,R$5)=LEFT($F65,R$5),$J65,"-")</f>
        <v>-</v>
      </c>
      <c r="R65" s="178" t="str">
        <f t="shared" ref="R65:R75" si="22">IF(LEFT(Q$6,R$5)=LEFT($G65,R$5),$J65,"-")</f>
        <v>-</v>
      </c>
    </row>
    <row r="66" spans="1:18" ht="18.75" customHeight="1">
      <c r="A66" s="169"/>
      <c r="B66" s="169"/>
      <c r="C66" s="170"/>
      <c r="D66" s="169"/>
      <c r="E66" s="171"/>
      <c r="F66" s="180"/>
      <c r="G66" s="185"/>
      <c r="H66" s="182"/>
      <c r="I66" s="173"/>
      <c r="J66" s="183"/>
      <c r="K66" s="175">
        <f>J$107-CDPS!F$132</f>
        <v>0</v>
      </c>
      <c r="L66" s="175">
        <f>J$107-CDPS!G$132</f>
        <v>0</v>
      </c>
      <c r="M66" s="169" t="str">
        <f t="shared" si="0"/>
        <v>-</v>
      </c>
      <c r="N66" s="356" t="str">
        <f t="shared" si="10"/>
        <v>-</v>
      </c>
      <c r="O66" s="176" t="str">
        <f t="shared" si="19"/>
        <v/>
      </c>
      <c r="P66" s="177" t="str">
        <f t="shared" si="20"/>
        <v/>
      </c>
      <c r="Q66" s="178" t="str">
        <f t="shared" si="21"/>
        <v>-</v>
      </c>
      <c r="R66" s="178" t="str">
        <f t="shared" si="22"/>
        <v>-</v>
      </c>
    </row>
    <row r="67" spans="1:18" ht="18.75" customHeight="1">
      <c r="A67" s="169">
        <v>45443</v>
      </c>
      <c r="B67" s="169" t="s">
        <v>484</v>
      </c>
      <c r="C67" s="170"/>
      <c r="D67" s="169"/>
      <c r="E67" s="171" t="s">
        <v>510</v>
      </c>
      <c r="F67" s="180"/>
      <c r="G67" s="185"/>
      <c r="H67" s="182"/>
      <c r="I67" s="173"/>
      <c r="J67" s="183"/>
      <c r="K67" s="175">
        <f>J$107-CDPS!F$132</f>
        <v>0</v>
      </c>
      <c r="L67" s="175">
        <f>J$107-CDPS!G$132</f>
        <v>0</v>
      </c>
      <c r="M67" s="169" t="str">
        <f t="shared" si="0"/>
        <v>-</v>
      </c>
      <c r="N67" s="356" t="str">
        <f t="shared" si="10"/>
        <v>-</v>
      </c>
      <c r="O67" s="176" t="str">
        <f t="shared" si="19"/>
        <v/>
      </c>
      <c r="P67" s="177" t="str">
        <f t="shared" si="20"/>
        <v/>
      </c>
      <c r="Q67" s="178" t="str">
        <f t="shared" si="21"/>
        <v>-</v>
      </c>
      <c r="R67" s="178" t="str">
        <f t="shared" si="22"/>
        <v>-</v>
      </c>
    </row>
    <row r="68" spans="1:18" ht="18.75" customHeight="1">
      <c r="A68" s="169">
        <v>45443</v>
      </c>
      <c r="B68" s="169" t="s">
        <v>484</v>
      </c>
      <c r="C68" s="170"/>
      <c r="D68" s="169"/>
      <c r="E68" s="171" t="s">
        <v>511</v>
      </c>
      <c r="F68" s="180"/>
      <c r="G68" s="185"/>
      <c r="H68" s="182"/>
      <c r="I68" s="173"/>
      <c r="J68" s="183"/>
      <c r="K68" s="175">
        <f>J$107-CDPS!F$132</f>
        <v>0</v>
      </c>
      <c r="L68" s="175">
        <f>J$107-CDPS!G$132</f>
        <v>0</v>
      </c>
      <c r="M68" s="169" t="str">
        <f t="shared" si="0"/>
        <v>-</v>
      </c>
      <c r="N68" s="356" t="str">
        <f t="shared" si="10"/>
        <v>-</v>
      </c>
      <c r="O68" s="176" t="str">
        <f t="shared" si="19"/>
        <v/>
      </c>
      <c r="P68" s="177" t="str">
        <f t="shared" si="20"/>
        <v/>
      </c>
      <c r="Q68" s="178" t="str">
        <f t="shared" si="21"/>
        <v>-</v>
      </c>
      <c r="R68" s="178" t="str">
        <f t="shared" si="22"/>
        <v>-</v>
      </c>
    </row>
    <row r="69" spans="1:18" ht="18.75" customHeight="1">
      <c r="A69" s="169"/>
      <c r="B69" s="169"/>
      <c r="C69" s="170"/>
      <c r="D69" s="169"/>
      <c r="E69" s="171"/>
      <c r="F69" s="184"/>
      <c r="G69" s="185"/>
      <c r="H69" s="182"/>
      <c r="I69" s="173"/>
      <c r="J69" s="183"/>
      <c r="K69" s="175">
        <f>J$107-CDPS!F$132</f>
        <v>0</v>
      </c>
      <c r="L69" s="175">
        <f>J$107-CDPS!G$132</f>
        <v>0</v>
      </c>
      <c r="M69" s="169" t="str">
        <f t="shared" si="0"/>
        <v>-</v>
      </c>
      <c r="N69" s="356" t="str">
        <f t="shared" si="10"/>
        <v>-</v>
      </c>
      <c r="O69" s="176" t="str">
        <f t="shared" si="19"/>
        <v/>
      </c>
      <c r="P69" s="177" t="str">
        <f t="shared" si="20"/>
        <v/>
      </c>
      <c r="Q69" s="178" t="str">
        <f t="shared" si="21"/>
        <v>-</v>
      </c>
      <c r="R69" s="178" t="str">
        <f t="shared" si="22"/>
        <v>-</v>
      </c>
    </row>
    <row r="70" spans="1:18" ht="18.75" customHeight="1">
      <c r="A70" s="169">
        <v>45443</v>
      </c>
      <c r="B70" s="169" t="s">
        <v>484</v>
      </c>
      <c r="C70" s="170"/>
      <c r="D70" s="169"/>
      <c r="E70" s="171" t="s">
        <v>480</v>
      </c>
      <c r="F70" s="189"/>
      <c r="G70" s="189"/>
      <c r="H70" s="182"/>
      <c r="I70" s="173"/>
      <c r="J70" s="183"/>
      <c r="K70" s="175">
        <f>J$107-CDPS!F$132</f>
        <v>0</v>
      </c>
      <c r="L70" s="175">
        <f>J$107-CDPS!G$132</f>
        <v>0</v>
      </c>
      <c r="M70" s="169" t="str">
        <f t="shared" si="0"/>
        <v>-</v>
      </c>
      <c r="N70" s="356" t="str">
        <f t="shared" si="10"/>
        <v>-</v>
      </c>
      <c r="O70" s="176" t="str">
        <f t="shared" si="19"/>
        <v/>
      </c>
      <c r="P70" s="177" t="str">
        <f t="shared" si="20"/>
        <v/>
      </c>
      <c r="Q70" s="178" t="str">
        <f t="shared" si="21"/>
        <v>-</v>
      </c>
      <c r="R70" s="178" t="str">
        <f t="shared" si="22"/>
        <v>-</v>
      </c>
    </row>
    <row r="71" spans="1:18" ht="18.75" customHeight="1">
      <c r="A71" s="169">
        <v>45443</v>
      </c>
      <c r="B71" s="169" t="s">
        <v>484</v>
      </c>
      <c r="C71" s="170"/>
      <c r="D71" s="169"/>
      <c r="E71" s="171" t="s">
        <v>481</v>
      </c>
      <c r="F71" s="189"/>
      <c r="G71" s="185"/>
      <c r="H71" s="182"/>
      <c r="I71" s="173"/>
      <c r="J71" s="183"/>
      <c r="K71" s="175">
        <f>J$107-CDPS!F$132</f>
        <v>0</v>
      </c>
      <c r="L71" s="175">
        <f>J$107-CDPS!G$132</f>
        <v>0</v>
      </c>
      <c r="M71" s="169" t="str">
        <f t="shared" si="0"/>
        <v>-</v>
      </c>
      <c r="N71" s="356" t="str">
        <f t="shared" si="10"/>
        <v>-</v>
      </c>
      <c r="O71" s="176" t="str">
        <f t="shared" si="19"/>
        <v/>
      </c>
      <c r="P71" s="177" t="str">
        <f t="shared" si="20"/>
        <v/>
      </c>
      <c r="Q71" s="178" t="str">
        <f t="shared" si="21"/>
        <v>-</v>
      </c>
      <c r="R71" s="178" t="str">
        <f t="shared" si="22"/>
        <v>-</v>
      </c>
    </row>
    <row r="72" spans="1:18" ht="18.75" customHeight="1">
      <c r="A72" s="169">
        <v>45443</v>
      </c>
      <c r="B72" s="169" t="s">
        <v>484</v>
      </c>
      <c r="C72" s="170"/>
      <c r="D72" s="169"/>
      <c r="E72" s="171" t="s">
        <v>482</v>
      </c>
      <c r="F72" s="189"/>
      <c r="G72" s="185"/>
      <c r="H72" s="182"/>
      <c r="I72" s="173"/>
      <c r="J72" s="183"/>
      <c r="K72" s="175">
        <f>J$107-CDPS!F$132</f>
        <v>0</v>
      </c>
      <c r="L72" s="175">
        <f>J$107-CDPS!G$132</f>
        <v>0</v>
      </c>
      <c r="M72" s="169" t="str">
        <f t="shared" si="0"/>
        <v>-</v>
      </c>
      <c r="N72" s="356" t="str">
        <f t="shared" si="10"/>
        <v>-</v>
      </c>
      <c r="O72" s="176" t="str">
        <f t="shared" si="19"/>
        <v/>
      </c>
      <c r="P72" s="177" t="str">
        <f t="shared" si="20"/>
        <v/>
      </c>
      <c r="Q72" s="178" t="str">
        <f t="shared" si="21"/>
        <v>-</v>
      </c>
      <c r="R72" s="178" t="str">
        <f t="shared" si="22"/>
        <v>-</v>
      </c>
    </row>
    <row r="73" spans="1:18" ht="18.75" customHeight="1">
      <c r="A73" s="169"/>
      <c r="B73" s="169"/>
      <c r="C73" s="170"/>
      <c r="D73" s="169"/>
      <c r="E73" s="171"/>
      <c r="F73" s="189"/>
      <c r="G73" s="185"/>
      <c r="H73" s="182"/>
      <c r="I73" s="173"/>
      <c r="J73" s="183"/>
      <c r="K73" s="175">
        <f>J$107-CDPS!F$132</f>
        <v>0</v>
      </c>
      <c r="L73" s="175">
        <f>J$107-CDPS!G$132</f>
        <v>0</v>
      </c>
      <c r="M73" s="169" t="str">
        <f t="shared" si="0"/>
        <v>-</v>
      </c>
      <c r="N73" s="356" t="str">
        <f t="shared" si="10"/>
        <v>-</v>
      </c>
      <c r="O73" s="176" t="str">
        <f t="shared" si="19"/>
        <v/>
      </c>
      <c r="P73" s="177" t="str">
        <f t="shared" si="20"/>
        <v/>
      </c>
      <c r="Q73" s="178" t="str">
        <f t="shared" si="21"/>
        <v>-</v>
      </c>
      <c r="R73" s="178" t="str">
        <f t="shared" si="22"/>
        <v>-</v>
      </c>
    </row>
    <row r="74" spans="1:18" ht="18.75" customHeight="1">
      <c r="A74" s="169">
        <v>45382</v>
      </c>
      <c r="B74" s="169" t="s">
        <v>400</v>
      </c>
      <c r="C74" s="170"/>
      <c r="D74" s="186"/>
      <c r="E74" s="171" t="s">
        <v>495</v>
      </c>
      <c r="F74" s="179"/>
      <c r="G74" s="179"/>
      <c r="H74" s="182"/>
      <c r="I74" s="173"/>
      <c r="J74" s="187"/>
      <c r="K74" s="175">
        <f>J$107-CDPS!F$132</f>
        <v>0</v>
      </c>
      <c r="L74" s="175">
        <f>J$107-CDPS!G$132</f>
        <v>0</v>
      </c>
      <c r="M74" s="169" t="str">
        <f t="shared" si="0"/>
        <v>-</v>
      </c>
      <c r="N74" s="356" t="str">
        <f t="shared" si="10"/>
        <v>-</v>
      </c>
      <c r="O74" s="176" t="str">
        <f t="shared" si="19"/>
        <v/>
      </c>
      <c r="P74" s="177" t="str">
        <f t="shared" si="20"/>
        <v/>
      </c>
      <c r="Q74" s="178" t="str">
        <f t="shared" si="21"/>
        <v>-</v>
      </c>
      <c r="R74" s="178" t="str">
        <f t="shared" si="22"/>
        <v>-</v>
      </c>
    </row>
    <row r="75" spans="1:18" ht="18.75" customHeight="1">
      <c r="A75" s="169"/>
      <c r="B75" s="169"/>
      <c r="C75" s="170"/>
      <c r="D75" s="186"/>
      <c r="E75" s="171"/>
      <c r="F75" s="179"/>
      <c r="G75" s="179"/>
      <c r="H75" s="182"/>
      <c r="I75" s="173"/>
      <c r="J75" s="187"/>
      <c r="K75" s="175">
        <f>J$107-CDPS!F$132</f>
        <v>0</v>
      </c>
      <c r="L75" s="175">
        <f>J$107-CDPS!G$132</f>
        <v>0</v>
      </c>
      <c r="M75" s="169" t="str">
        <f t="shared" ref="M75:M106" si="23">IF(P75&lt;&gt;"",A75,"-")</f>
        <v>-</v>
      </c>
      <c r="N75" s="356" t="str">
        <f t="shared" si="10"/>
        <v>-</v>
      </c>
      <c r="O75" s="176" t="str">
        <f t="shared" si="19"/>
        <v/>
      </c>
      <c r="P75" s="177" t="str">
        <f t="shared" si="20"/>
        <v/>
      </c>
      <c r="Q75" s="178" t="str">
        <f t="shared" si="21"/>
        <v>-</v>
      </c>
      <c r="R75" s="178" t="str">
        <f t="shared" si="22"/>
        <v>-</v>
      </c>
    </row>
    <row r="76" spans="1:18" ht="18.75" customHeight="1">
      <c r="A76" s="169">
        <v>45382</v>
      </c>
      <c r="B76" s="169" t="s">
        <v>400</v>
      </c>
      <c r="C76" s="170"/>
      <c r="D76" s="169"/>
      <c r="E76" s="171" t="s">
        <v>486</v>
      </c>
      <c r="F76" s="184"/>
      <c r="G76" s="184"/>
      <c r="H76" s="182"/>
      <c r="I76" s="182"/>
      <c r="J76" s="183"/>
      <c r="K76" s="175">
        <f>J$107-CDPS!F$132</f>
        <v>0</v>
      </c>
      <c r="L76" s="175">
        <f>J$107-CDPS!G$132</f>
        <v>0</v>
      </c>
      <c r="M76" s="169" t="str">
        <f t="shared" si="23"/>
        <v>-</v>
      </c>
      <c r="N76" s="356" t="str">
        <f t="shared" si="10"/>
        <v>-</v>
      </c>
      <c r="O76" s="176" t="str">
        <f t="shared" si="11"/>
        <v/>
      </c>
      <c r="P76" s="177" t="str">
        <f t="shared" si="12"/>
        <v/>
      </c>
      <c r="Q76" s="178" t="str">
        <f t="shared" si="13"/>
        <v>-</v>
      </c>
      <c r="R76" s="178" t="str">
        <f t="shared" si="14"/>
        <v>-</v>
      </c>
    </row>
    <row r="77" spans="1:18" ht="18.75" customHeight="1">
      <c r="A77" s="169"/>
      <c r="B77" s="169"/>
      <c r="C77" s="170"/>
      <c r="D77" s="169"/>
      <c r="E77" s="171"/>
      <c r="F77" s="184"/>
      <c r="G77" s="181"/>
      <c r="H77" s="182"/>
      <c r="I77" s="182"/>
      <c r="J77" s="183"/>
      <c r="K77" s="175">
        <f>J$107-CDPS!F$132</f>
        <v>0</v>
      </c>
      <c r="L77" s="175">
        <f>J$107-CDPS!G$132</f>
        <v>0</v>
      </c>
      <c r="M77" s="169" t="str">
        <f t="shared" si="23"/>
        <v>-</v>
      </c>
      <c r="N77" s="356" t="str">
        <f t="shared" si="10"/>
        <v>-</v>
      </c>
      <c r="O77" s="176" t="str">
        <f t="shared" si="11"/>
        <v/>
      </c>
      <c r="P77" s="177" t="str">
        <f t="shared" si="12"/>
        <v/>
      </c>
      <c r="Q77" s="178" t="str">
        <f t="shared" si="13"/>
        <v>-</v>
      </c>
      <c r="R77" s="178" t="str">
        <f t="shared" si="14"/>
        <v>-</v>
      </c>
    </row>
    <row r="78" spans="1:18" ht="18.75" customHeight="1">
      <c r="A78" s="169">
        <v>45382</v>
      </c>
      <c r="B78" s="169" t="s">
        <v>400</v>
      </c>
      <c r="C78" s="170"/>
      <c r="D78" s="169"/>
      <c r="E78" s="171" t="s">
        <v>487</v>
      </c>
      <c r="F78" s="184"/>
      <c r="G78" s="184"/>
      <c r="H78" s="182"/>
      <c r="I78" s="182"/>
      <c r="J78" s="183"/>
      <c r="K78" s="175">
        <f>J$107-CDPS!F$132</f>
        <v>0</v>
      </c>
      <c r="L78" s="175">
        <f>J$107-CDPS!G$132</f>
        <v>0</v>
      </c>
      <c r="M78" s="169" t="str">
        <f t="shared" si="23"/>
        <v>-</v>
      </c>
      <c r="N78" s="356" t="str">
        <f t="shared" si="10"/>
        <v>-</v>
      </c>
      <c r="O78" s="176" t="str">
        <f t="shared" si="11"/>
        <v/>
      </c>
      <c r="P78" s="177" t="str">
        <f t="shared" si="12"/>
        <v/>
      </c>
      <c r="Q78" s="178" t="str">
        <f t="shared" si="13"/>
        <v>-</v>
      </c>
      <c r="R78" s="178" t="str">
        <f t="shared" si="14"/>
        <v>-</v>
      </c>
    </row>
    <row r="79" spans="1:18" ht="18.75" customHeight="1">
      <c r="A79" s="169">
        <v>45382</v>
      </c>
      <c r="B79" s="169" t="s">
        <v>400</v>
      </c>
      <c r="C79" s="170"/>
      <c r="D79" s="169"/>
      <c r="E79" s="171" t="s">
        <v>487</v>
      </c>
      <c r="F79" s="184"/>
      <c r="G79" s="184"/>
      <c r="H79" s="182"/>
      <c r="I79" s="182"/>
      <c r="J79" s="183"/>
      <c r="K79" s="175">
        <f>J$107-CDPS!F$132</f>
        <v>0</v>
      </c>
      <c r="L79" s="175">
        <f>J$107-CDPS!G$132</f>
        <v>0</v>
      </c>
      <c r="M79" s="169" t="str">
        <f t="shared" si="23"/>
        <v>-</v>
      </c>
      <c r="N79" s="356" t="str">
        <f t="shared" si="10"/>
        <v>-</v>
      </c>
      <c r="O79" s="176" t="str">
        <f t="shared" si="11"/>
        <v/>
      </c>
      <c r="P79" s="177" t="str">
        <f t="shared" si="12"/>
        <v/>
      </c>
      <c r="Q79" s="178" t="str">
        <f t="shared" si="13"/>
        <v>-</v>
      </c>
      <c r="R79" s="178" t="str">
        <f t="shared" si="14"/>
        <v>-</v>
      </c>
    </row>
    <row r="80" spans="1:18" ht="18.75" customHeight="1">
      <c r="A80" s="169">
        <v>45382</v>
      </c>
      <c r="B80" s="169" t="s">
        <v>400</v>
      </c>
      <c r="C80" s="170"/>
      <c r="D80" s="186"/>
      <c r="E80" s="171" t="s">
        <v>487</v>
      </c>
      <c r="F80" s="184"/>
      <c r="G80" s="184"/>
      <c r="H80" s="182"/>
      <c r="I80" s="173"/>
      <c r="J80" s="183"/>
      <c r="K80" s="175">
        <f>J$107-CDPS!F$132</f>
        <v>0</v>
      </c>
      <c r="L80" s="175">
        <f>J$107-CDPS!G$132</f>
        <v>0</v>
      </c>
      <c r="M80" s="169" t="str">
        <f t="shared" si="23"/>
        <v>-</v>
      </c>
      <c r="N80" s="356" t="str">
        <f t="shared" ref="N80:N106" si="24">IF(P80&lt;&gt;"",B80,"-")</f>
        <v>-</v>
      </c>
      <c r="O80" s="176" t="str">
        <f t="shared" si="11"/>
        <v/>
      </c>
      <c r="P80" s="177" t="str">
        <f t="shared" si="12"/>
        <v/>
      </c>
      <c r="Q80" s="178" t="str">
        <f t="shared" si="13"/>
        <v>-</v>
      </c>
      <c r="R80" s="178" t="str">
        <f t="shared" si="14"/>
        <v>-</v>
      </c>
    </row>
    <row r="81" spans="1:18" ht="18.75" customHeight="1">
      <c r="A81" s="169">
        <v>45382</v>
      </c>
      <c r="B81" s="169" t="s">
        <v>400</v>
      </c>
      <c r="C81" s="170"/>
      <c r="D81" s="186"/>
      <c r="E81" s="171" t="s">
        <v>487</v>
      </c>
      <c r="F81" s="184"/>
      <c r="G81" s="184"/>
      <c r="H81" s="182"/>
      <c r="I81" s="173"/>
      <c r="J81" s="183"/>
      <c r="K81" s="175">
        <f>J$107-CDPS!F$132</f>
        <v>0</v>
      </c>
      <c r="L81" s="175">
        <f>J$107-CDPS!G$132</f>
        <v>0</v>
      </c>
      <c r="M81" s="169" t="str">
        <f t="shared" si="23"/>
        <v>-</v>
      </c>
      <c r="N81" s="356" t="str">
        <f t="shared" si="24"/>
        <v>-</v>
      </c>
      <c r="O81" s="176" t="str">
        <f t="shared" si="11"/>
        <v/>
      </c>
      <c r="P81" s="177" t="str">
        <f t="shared" si="12"/>
        <v/>
      </c>
      <c r="Q81" s="178" t="str">
        <f t="shared" si="13"/>
        <v>-</v>
      </c>
      <c r="R81" s="178" t="str">
        <f t="shared" si="14"/>
        <v>-</v>
      </c>
    </row>
    <row r="82" spans="1:18" ht="18.75" customHeight="1">
      <c r="A82" s="169">
        <v>45382</v>
      </c>
      <c r="B82" s="169" t="s">
        <v>400</v>
      </c>
      <c r="C82" s="170"/>
      <c r="D82" s="169"/>
      <c r="E82" s="171" t="s">
        <v>487</v>
      </c>
      <c r="F82" s="184"/>
      <c r="G82" s="184"/>
      <c r="H82" s="182"/>
      <c r="I82" s="182"/>
      <c r="J82" s="183"/>
      <c r="K82" s="175">
        <f>J$107-CDPS!F$132</f>
        <v>0</v>
      </c>
      <c r="L82" s="175">
        <f>J$107-CDPS!G$132</f>
        <v>0</v>
      </c>
      <c r="M82" s="169" t="str">
        <f t="shared" si="23"/>
        <v>-</v>
      </c>
      <c r="N82" s="356" t="str">
        <f t="shared" si="24"/>
        <v>-</v>
      </c>
      <c r="O82" s="176" t="str">
        <f t="shared" si="11"/>
        <v/>
      </c>
      <c r="P82" s="177" t="str">
        <f t="shared" si="12"/>
        <v/>
      </c>
      <c r="Q82" s="178" t="str">
        <f t="shared" si="13"/>
        <v>-</v>
      </c>
      <c r="R82" s="178" t="str">
        <f t="shared" si="14"/>
        <v>-</v>
      </c>
    </row>
    <row r="83" spans="1:18" ht="18.75" customHeight="1">
      <c r="A83" s="169">
        <v>45382</v>
      </c>
      <c r="B83" s="169" t="s">
        <v>400</v>
      </c>
      <c r="C83" s="188"/>
      <c r="D83" s="186"/>
      <c r="E83" s="171" t="s">
        <v>487</v>
      </c>
      <c r="F83" s="184"/>
      <c r="G83" s="184"/>
      <c r="H83" s="182"/>
      <c r="I83" s="173"/>
      <c r="J83" s="183"/>
      <c r="K83" s="175">
        <f>J$107-CDPS!F$132</f>
        <v>0</v>
      </c>
      <c r="L83" s="175">
        <f>J$107-CDPS!G$132</f>
        <v>0</v>
      </c>
      <c r="M83" s="169" t="str">
        <f t="shared" si="23"/>
        <v>-</v>
      </c>
      <c r="N83" s="356" t="str">
        <f t="shared" si="24"/>
        <v>-</v>
      </c>
      <c r="O83" s="176" t="str">
        <f t="shared" ref="O83:O96" si="25">IF(P83&lt;&gt;"",$E83,"")</f>
        <v/>
      </c>
      <c r="P83" s="177" t="str">
        <f t="shared" ref="P83:P96" si="26">IF(LEFT(Q$6,R$5)=LEFT($F83,R$5),$G83,"")&amp;IF(LEFT(Q$6,R$5)=LEFT($G83,R$5),$F83,"")</f>
        <v/>
      </c>
      <c r="Q83" s="178" t="str">
        <f t="shared" ref="Q83:Q96" si="27">IF(LEFT(Q$6,R$5)=LEFT($F83,R$5),$J83,"-")</f>
        <v>-</v>
      </c>
      <c r="R83" s="178" t="str">
        <f t="shared" ref="R83:R96" si="28">IF(LEFT(Q$6,R$5)=LEFT($G83,R$5),$J83,"-")</f>
        <v>-</v>
      </c>
    </row>
    <row r="84" spans="1:18" ht="18.75" customHeight="1">
      <c r="A84" s="169">
        <v>45382</v>
      </c>
      <c r="B84" s="169" t="s">
        <v>400</v>
      </c>
      <c r="C84" s="188"/>
      <c r="D84" s="186"/>
      <c r="E84" s="171" t="s">
        <v>487</v>
      </c>
      <c r="F84" s="184"/>
      <c r="G84" s="184"/>
      <c r="H84" s="182"/>
      <c r="I84" s="173"/>
      <c r="J84" s="183"/>
      <c r="K84" s="175">
        <f>J$107-CDPS!F$132</f>
        <v>0</v>
      </c>
      <c r="L84" s="175">
        <f>J$107-CDPS!G$132</f>
        <v>0</v>
      </c>
      <c r="M84" s="169" t="str">
        <f t="shared" si="23"/>
        <v>-</v>
      </c>
      <c r="N84" s="356" t="str">
        <f t="shared" si="24"/>
        <v>-</v>
      </c>
      <c r="O84" s="176" t="str">
        <f t="shared" si="25"/>
        <v/>
      </c>
      <c r="P84" s="177" t="str">
        <f t="shared" si="26"/>
        <v/>
      </c>
      <c r="Q84" s="178" t="str">
        <f t="shared" si="27"/>
        <v>-</v>
      </c>
      <c r="R84" s="178" t="str">
        <f t="shared" si="28"/>
        <v>-</v>
      </c>
    </row>
    <row r="85" spans="1:18" ht="18.75" customHeight="1">
      <c r="A85" s="169"/>
      <c r="B85" s="169"/>
      <c r="C85" s="188"/>
      <c r="D85" s="186"/>
      <c r="E85" s="171"/>
      <c r="F85" s="184"/>
      <c r="G85" s="184"/>
      <c r="H85" s="182"/>
      <c r="I85" s="173"/>
      <c r="J85" s="183"/>
      <c r="K85" s="175">
        <f>J$107-CDPS!F$132</f>
        <v>0</v>
      </c>
      <c r="L85" s="175">
        <f>J$107-CDPS!G$132</f>
        <v>0</v>
      </c>
      <c r="M85" s="169" t="str">
        <f t="shared" si="23"/>
        <v>-</v>
      </c>
      <c r="N85" s="356" t="str">
        <f t="shared" si="24"/>
        <v>-</v>
      </c>
      <c r="O85" s="176" t="str">
        <f t="shared" si="25"/>
        <v/>
      </c>
      <c r="P85" s="177" t="str">
        <f t="shared" si="26"/>
        <v/>
      </c>
      <c r="Q85" s="178" t="str">
        <f t="shared" si="27"/>
        <v>-</v>
      </c>
      <c r="R85" s="178" t="str">
        <f t="shared" si="28"/>
        <v>-</v>
      </c>
    </row>
    <row r="86" spans="1:18" ht="18.75" customHeight="1">
      <c r="A86" s="169">
        <v>45382</v>
      </c>
      <c r="B86" s="169" t="s">
        <v>400</v>
      </c>
      <c r="C86" s="170"/>
      <c r="D86" s="169"/>
      <c r="E86" s="171" t="s">
        <v>488</v>
      </c>
      <c r="F86" s="184"/>
      <c r="G86" s="180"/>
      <c r="H86" s="182"/>
      <c r="I86" s="173"/>
      <c r="J86" s="183"/>
      <c r="K86" s="175">
        <f>J$107-CDPS!F$132</f>
        <v>0</v>
      </c>
      <c r="L86" s="175">
        <f>J$107-CDPS!G$132</f>
        <v>0</v>
      </c>
      <c r="M86" s="169" t="str">
        <f t="shared" si="23"/>
        <v>-</v>
      </c>
      <c r="N86" s="356" t="str">
        <f t="shared" si="24"/>
        <v>-</v>
      </c>
      <c r="O86" s="176" t="str">
        <f t="shared" si="25"/>
        <v/>
      </c>
      <c r="P86" s="177" t="str">
        <f t="shared" si="26"/>
        <v/>
      </c>
      <c r="Q86" s="178" t="str">
        <f t="shared" si="27"/>
        <v>-</v>
      </c>
      <c r="R86" s="178" t="str">
        <f t="shared" si="28"/>
        <v>-</v>
      </c>
    </row>
    <row r="87" spans="1:18" ht="18.75" customHeight="1">
      <c r="A87" s="169">
        <v>45382</v>
      </c>
      <c r="B87" s="169" t="s">
        <v>400</v>
      </c>
      <c r="C87" s="170"/>
      <c r="D87" s="169"/>
      <c r="E87" s="171" t="s">
        <v>488</v>
      </c>
      <c r="F87" s="184"/>
      <c r="G87" s="180"/>
      <c r="H87" s="182"/>
      <c r="I87" s="173"/>
      <c r="J87" s="183"/>
      <c r="K87" s="175">
        <f>J$107-CDPS!F$132</f>
        <v>0</v>
      </c>
      <c r="L87" s="175">
        <f>J$107-CDPS!G$132</f>
        <v>0</v>
      </c>
      <c r="M87" s="169" t="str">
        <f t="shared" si="23"/>
        <v>-</v>
      </c>
      <c r="N87" s="356" t="str">
        <f t="shared" si="24"/>
        <v>-</v>
      </c>
      <c r="O87" s="176" t="str">
        <f t="shared" si="25"/>
        <v/>
      </c>
      <c r="P87" s="177" t="str">
        <f t="shared" si="26"/>
        <v/>
      </c>
      <c r="Q87" s="178" t="str">
        <f t="shared" si="27"/>
        <v>-</v>
      </c>
      <c r="R87" s="178" t="str">
        <f t="shared" si="28"/>
        <v>-</v>
      </c>
    </row>
    <row r="88" spans="1:18" ht="18.75" customHeight="1">
      <c r="A88" s="169">
        <v>45382</v>
      </c>
      <c r="B88" s="169" t="s">
        <v>400</v>
      </c>
      <c r="C88" s="170"/>
      <c r="D88" s="169"/>
      <c r="E88" s="171" t="s">
        <v>488</v>
      </c>
      <c r="F88" s="184"/>
      <c r="G88" s="180"/>
      <c r="H88" s="182"/>
      <c r="I88" s="173"/>
      <c r="J88" s="183"/>
      <c r="K88" s="175">
        <f>J$107-CDPS!F$132</f>
        <v>0</v>
      </c>
      <c r="L88" s="175">
        <f>J$107-CDPS!G$132</f>
        <v>0</v>
      </c>
      <c r="M88" s="169" t="str">
        <f t="shared" si="23"/>
        <v>-</v>
      </c>
      <c r="N88" s="356" t="str">
        <f t="shared" si="24"/>
        <v>-</v>
      </c>
      <c r="O88" s="176" t="str">
        <f t="shared" si="25"/>
        <v/>
      </c>
      <c r="P88" s="177" t="str">
        <f t="shared" si="26"/>
        <v/>
      </c>
      <c r="Q88" s="178" t="str">
        <f t="shared" si="27"/>
        <v>-</v>
      </c>
      <c r="R88" s="178" t="str">
        <f t="shared" si="28"/>
        <v>-</v>
      </c>
    </row>
    <row r="89" spans="1:18" ht="18.75" customHeight="1">
      <c r="A89" s="169">
        <v>45382</v>
      </c>
      <c r="B89" s="169" t="s">
        <v>400</v>
      </c>
      <c r="C89" s="170"/>
      <c r="D89" s="169"/>
      <c r="E89" s="171" t="s">
        <v>488</v>
      </c>
      <c r="F89" s="184"/>
      <c r="G89" s="180"/>
      <c r="H89" s="182"/>
      <c r="I89" s="173"/>
      <c r="J89" s="183"/>
      <c r="K89" s="175">
        <f>J$107-CDPS!F$132</f>
        <v>0</v>
      </c>
      <c r="L89" s="175">
        <f>J$107-CDPS!G$132</f>
        <v>0</v>
      </c>
      <c r="M89" s="169" t="str">
        <f t="shared" si="23"/>
        <v>-</v>
      </c>
      <c r="N89" s="356" t="str">
        <f t="shared" si="24"/>
        <v>-</v>
      </c>
      <c r="O89" s="176" t="str">
        <f t="shared" si="25"/>
        <v/>
      </c>
      <c r="P89" s="177" t="str">
        <f t="shared" si="26"/>
        <v/>
      </c>
      <c r="Q89" s="178" t="str">
        <f t="shared" si="27"/>
        <v>-</v>
      </c>
      <c r="R89" s="178" t="str">
        <f t="shared" si="28"/>
        <v>-</v>
      </c>
    </row>
    <row r="90" spans="1:18" ht="18.75" customHeight="1">
      <c r="A90" s="169">
        <v>45382</v>
      </c>
      <c r="B90" s="169" t="s">
        <v>400</v>
      </c>
      <c r="C90" s="170"/>
      <c r="D90" s="169"/>
      <c r="E90" s="171" t="s">
        <v>488</v>
      </c>
      <c r="F90" s="184"/>
      <c r="G90" s="180"/>
      <c r="H90" s="182"/>
      <c r="I90" s="173"/>
      <c r="J90" s="183"/>
      <c r="K90" s="175">
        <f>J$107-CDPS!F$132</f>
        <v>0</v>
      </c>
      <c r="L90" s="175">
        <f>J$107-CDPS!G$132</f>
        <v>0</v>
      </c>
      <c r="M90" s="169" t="str">
        <f t="shared" si="23"/>
        <v>-</v>
      </c>
      <c r="N90" s="356" t="str">
        <f t="shared" si="24"/>
        <v>-</v>
      </c>
      <c r="O90" s="176" t="str">
        <f t="shared" si="25"/>
        <v/>
      </c>
      <c r="P90" s="177" t="str">
        <f t="shared" si="26"/>
        <v/>
      </c>
      <c r="Q90" s="178" t="str">
        <f t="shared" si="27"/>
        <v>-</v>
      </c>
      <c r="R90" s="178" t="str">
        <f t="shared" si="28"/>
        <v>-</v>
      </c>
    </row>
    <row r="91" spans="1:18" ht="18.75" customHeight="1">
      <c r="A91" s="169">
        <v>45382</v>
      </c>
      <c r="B91" s="169" t="s">
        <v>400</v>
      </c>
      <c r="C91" s="170"/>
      <c r="D91" s="169"/>
      <c r="E91" s="171" t="s">
        <v>488</v>
      </c>
      <c r="F91" s="184"/>
      <c r="G91" s="180"/>
      <c r="H91" s="182"/>
      <c r="I91" s="173"/>
      <c r="J91" s="183"/>
      <c r="K91" s="175">
        <f>J$107-CDPS!F$132</f>
        <v>0</v>
      </c>
      <c r="L91" s="175">
        <f>J$107-CDPS!G$132</f>
        <v>0</v>
      </c>
      <c r="M91" s="169" t="str">
        <f t="shared" si="23"/>
        <v>-</v>
      </c>
      <c r="N91" s="356" t="str">
        <f t="shared" si="24"/>
        <v>-</v>
      </c>
      <c r="O91" s="176" t="str">
        <f t="shared" si="25"/>
        <v/>
      </c>
      <c r="P91" s="177" t="str">
        <f t="shared" si="26"/>
        <v/>
      </c>
      <c r="Q91" s="178" t="str">
        <f t="shared" si="27"/>
        <v>-</v>
      </c>
      <c r="R91" s="178" t="str">
        <f t="shared" si="28"/>
        <v>-</v>
      </c>
    </row>
    <row r="92" spans="1:18" ht="18.75" customHeight="1">
      <c r="A92" s="169">
        <v>45382</v>
      </c>
      <c r="B92" s="169" t="s">
        <v>400</v>
      </c>
      <c r="C92" s="170"/>
      <c r="D92" s="169"/>
      <c r="E92" s="171" t="s">
        <v>488</v>
      </c>
      <c r="F92" s="184"/>
      <c r="G92" s="180"/>
      <c r="H92" s="182"/>
      <c r="I92" s="173"/>
      <c r="J92" s="183"/>
      <c r="K92" s="175">
        <f>J$107-CDPS!F$132</f>
        <v>0</v>
      </c>
      <c r="L92" s="175">
        <f>J$107-CDPS!G$132</f>
        <v>0</v>
      </c>
      <c r="M92" s="169" t="str">
        <f t="shared" si="23"/>
        <v>-</v>
      </c>
      <c r="N92" s="356" t="str">
        <f t="shared" si="24"/>
        <v>-</v>
      </c>
      <c r="O92" s="176" t="str">
        <f t="shared" si="25"/>
        <v/>
      </c>
      <c r="P92" s="177" t="str">
        <f t="shared" si="26"/>
        <v/>
      </c>
      <c r="Q92" s="178" t="str">
        <f t="shared" si="27"/>
        <v>-</v>
      </c>
      <c r="R92" s="178" t="str">
        <f t="shared" si="28"/>
        <v>-</v>
      </c>
    </row>
    <row r="93" spans="1:18" ht="18.75" customHeight="1">
      <c r="A93" s="169">
        <v>45382</v>
      </c>
      <c r="B93" s="169" t="s">
        <v>400</v>
      </c>
      <c r="C93" s="170"/>
      <c r="D93" s="169"/>
      <c r="E93" s="171" t="s">
        <v>488</v>
      </c>
      <c r="F93" s="184"/>
      <c r="G93" s="180"/>
      <c r="H93" s="182"/>
      <c r="I93" s="173"/>
      <c r="J93" s="183"/>
      <c r="K93" s="175">
        <f>J$107-CDPS!F$132</f>
        <v>0</v>
      </c>
      <c r="L93" s="175">
        <f>J$107-CDPS!G$132</f>
        <v>0</v>
      </c>
      <c r="M93" s="169" t="str">
        <f t="shared" si="23"/>
        <v>-</v>
      </c>
      <c r="N93" s="356" t="str">
        <f t="shared" si="24"/>
        <v>-</v>
      </c>
      <c r="O93" s="176" t="str">
        <f t="shared" si="25"/>
        <v/>
      </c>
      <c r="P93" s="177" t="str">
        <f t="shared" si="26"/>
        <v/>
      </c>
      <c r="Q93" s="178" t="str">
        <f t="shared" si="27"/>
        <v>-</v>
      </c>
      <c r="R93" s="178" t="str">
        <f t="shared" si="28"/>
        <v>-</v>
      </c>
    </row>
    <row r="94" spans="1:18" ht="18.75" customHeight="1">
      <c r="A94" s="169"/>
      <c r="B94" s="169"/>
      <c r="C94" s="188"/>
      <c r="D94" s="186"/>
      <c r="E94" s="171"/>
      <c r="F94" s="184"/>
      <c r="G94" s="184"/>
      <c r="H94" s="182"/>
      <c r="I94" s="173"/>
      <c r="J94" s="183"/>
      <c r="K94" s="175">
        <f>J$107-CDPS!F$132</f>
        <v>0</v>
      </c>
      <c r="L94" s="175">
        <f>J$107-CDPS!G$132</f>
        <v>0</v>
      </c>
      <c r="M94" s="169" t="str">
        <f t="shared" si="23"/>
        <v>-</v>
      </c>
      <c r="N94" s="356" t="str">
        <f t="shared" si="24"/>
        <v>-</v>
      </c>
      <c r="O94" s="176" t="str">
        <f t="shared" si="25"/>
        <v/>
      </c>
      <c r="P94" s="177" t="str">
        <f t="shared" si="26"/>
        <v/>
      </c>
      <c r="Q94" s="178" t="str">
        <f t="shared" si="27"/>
        <v>-</v>
      </c>
      <c r="R94" s="178" t="str">
        <f t="shared" si="28"/>
        <v>-</v>
      </c>
    </row>
    <row r="95" spans="1:18" ht="18.75" customHeight="1">
      <c r="A95" s="169">
        <v>45382</v>
      </c>
      <c r="B95" s="169" t="s">
        <v>400</v>
      </c>
      <c r="C95" s="188"/>
      <c r="D95" s="186"/>
      <c r="E95" s="171" t="s">
        <v>489</v>
      </c>
      <c r="F95" s="185"/>
      <c r="G95" s="184"/>
      <c r="H95" s="182"/>
      <c r="I95" s="173"/>
      <c r="J95" s="187"/>
      <c r="K95" s="175">
        <f>J$107-CDPS!F$132</f>
        <v>0</v>
      </c>
      <c r="L95" s="175">
        <f>J$107-CDPS!G$132</f>
        <v>0</v>
      </c>
      <c r="M95" s="169" t="str">
        <f t="shared" si="23"/>
        <v>-</v>
      </c>
      <c r="N95" s="356" t="str">
        <f t="shared" si="24"/>
        <v>-</v>
      </c>
      <c r="O95" s="176" t="str">
        <f t="shared" si="25"/>
        <v/>
      </c>
      <c r="P95" s="177" t="str">
        <f t="shared" si="26"/>
        <v/>
      </c>
      <c r="Q95" s="178" t="str">
        <f t="shared" si="27"/>
        <v>-</v>
      </c>
      <c r="R95" s="178" t="str">
        <f t="shared" si="28"/>
        <v>-</v>
      </c>
    </row>
    <row r="96" spans="1:18" ht="18.75" customHeight="1">
      <c r="A96" s="169">
        <v>45382</v>
      </c>
      <c r="B96" s="169" t="s">
        <v>400</v>
      </c>
      <c r="C96" s="170"/>
      <c r="D96" s="169"/>
      <c r="E96" s="171" t="s">
        <v>490</v>
      </c>
      <c r="F96" s="184"/>
      <c r="G96" s="184"/>
      <c r="H96" s="182"/>
      <c r="I96" s="182"/>
      <c r="J96" s="183"/>
      <c r="K96" s="175">
        <f>J$107-CDPS!F$132</f>
        <v>0</v>
      </c>
      <c r="L96" s="175">
        <f>J$107-CDPS!G$132</f>
        <v>0</v>
      </c>
      <c r="M96" s="169" t="str">
        <f t="shared" si="23"/>
        <v>-</v>
      </c>
      <c r="N96" s="356" t="str">
        <f t="shared" si="24"/>
        <v>-</v>
      </c>
      <c r="O96" s="176" t="str">
        <f t="shared" si="25"/>
        <v/>
      </c>
      <c r="P96" s="177" t="str">
        <f t="shared" si="26"/>
        <v/>
      </c>
      <c r="Q96" s="178" t="str">
        <f t="shared" si="27"/>
        <v>-</v>
      </c>
      <c r="R96" s="178" t="str">
        <f t="shared" si="28"/>
        <v>-</v>
      </c>
    </row>
    <row r="97" spans="1:18" ht="18.75" customHeight="1">
      <c r="A97" s="169"/>
      <c r="B97" s="169"/>
      <c r="C97" s="170"/>
      <c r="D97" s="169"/>
      <c r="E97" s="171"/>
      <c r="F97" s="184"/>
      <c r="G97" s="185"/>
      <c r="H97" s="182"/>
      <c r="I97" s="173"/>
      <c r="J97" s="183"/>
      <c r="K97" s="175">
        <f>J$107-CDPS!F$132</f>
        <v>0</v>
      </c>
      <c r="L97" s="175">
        <f>J$107-CDPS!G$132</f>
        <v>0</v>
      </c>
      <c r="M97" s="169" t="str">
        <f t="shared" si="23"/>
        <v>-</v>
      </c>
      <c r="N97" s="356" t="str">
        <f t="shared" si="24"/>
        <v>-</v>
      </c>
      <c r="O97" s="176" t="str">
        <f t="shared" ref="O97:O100" si="29">IF(P97&lt;&gt;"",$E97,"")</f>
        <v/>
      </c>
      <c r="P97" s="177" t="str">
        <f t="shared" ref="P97:P100" si="30">IF(LEFT(Q$6,R$5)=LEFT($F97,R$5),$G97,"")&amp;IF(LEFT(Q$6,R$5)=LEFT($G97,R$5),$F97,"")</f>
        <v/>
      </c>
      <c r="Q97" s="178" t="str">
        <f t="shared" ref="Q97:Q100" si="31">IF(LEFT(Q$6,R$5)=LEFT($F97,R$5),$J97,"-")</f>
        <v>-</v>
      </c>
      <c r="R97" s="178" t="str">
        <f t="shared" ref="R97:R100" si="32">IF(LEFT(Q$6,R$5)=LEFT($G97,R$5),$J97,"-")</f>
        <v>-</v>
      </c>
    </row>
    <row r="98" spans="1:18" ht="18.75" customHeight="1">
      <c r="A98" s="169">
        <v>45382</v>
      </c>
      <c r="B98" s="169" t="s">
        <v>400</v>
      </c>
      <c r="C98" s="170"/>
      <c r="D98" s="169"/>
      <c r="E98" s="171" t="s">
        <v>491</v>
      </c>
      <c r="F98" s="180"/>
      <c r="G98" s="184"/>
      <c r="H98" s="182"/>
      <c r="I98" s="182"/>
      <c r="J98" s="183"/>
      <c r="K98" s="175">
        <f>SUM(J95:J96)-SUM(J76:J93)</f>
        <v>0</v>
      </c>
      <c r="L98" s="175" t="s">
        <v>509</v>
      </c>
      <c r="M98" s="169" t="str">
        <f t="shared" si="23"/>
        <v>-</v>
      </c>
      <c r="N98" s="356" t="str">
        <f t="shared" si="24"/>
        <v>-</v>
      </c>
      <c r="O98" s="176" t="str">
        <f t="shared" si="29"/>
        <v/>
      </c>
      <c r="P98" s="177" t="str">
        <f t="shared" si="30"/>
        <v/>
      </c>
      <c r="Q98" s="178" t="str">
        <f t="shared" si="31"/>
        <v>-</v>
      </c>
      <c r="R98" s="178" t="str">
        <f t="shared" si="32"/>
        <v>-</v>
      </c>
    </row>
    <row r="99" spans="1:18" ht="18.75" customHeight="1">
      <c r="A99" s="169">
        <v>45382</v>
      </c>
      <c r="B99" s="169" t="s">
        <v>400</v>
      </c>
      <c r="C99" s="170"/>
      <c r="D99" s="169"/>
      <c r="E99" s="171" t="s">
        <v>492</v>
      </c>
      <c r="F99" s="184"/>
      <c r="G99" s="180"/>
      <c r="H99" s="182"/>
      <c r="I99" s="173"/>
      <c r="J99" s="187"/>
      <c r="K99" s="175">
        <f>K98+J32</f>
        <v>0</v>
      </c>
      <c r="L99" s="175" t="s">
        <v>494</v>
      </c>
      <c r="M99" s="169" t="str">
        <f t="shared" si="23"/>
        <v>-</v>
      </c>
      <c r="N99" s="356" t="str">
        <f t="shared" si="24"/>
        <v>-</v>
      </c>
      <c r="O99" s="176" t="str">
        <f t="shared" si="29"/>
        <v/>
      </c>
      <c r="P99" s="177" t="str">
        <f t="shared" si="30"/>
        <v/>
      </c>
      <c r="Q99" s="178" t="str">
        <f t="shared" si="31"/>
        <v>-</v>
      </c>
      <c r="R99" s="178" t="str">
        <f t="shared" si="32"/>
        <v>-</v>
      </c>
    </row>
    <row r="100" spans="1:18" ht="18.75" customHeight="1">
      <c r="A100" s="169"/>
      <c r="B100" s="169"/>
      <c r="C100" s="170"/>
      <c r="D100" s="186"/>
      <c r="E100" s="171"/>
      <c r="F100" s="184"/>
      <c r="G100" s="184"/>
      <c r="H100" s="182"/>
      <c r="I100" s="173"/>
      <c r="J100" s="187"/>
      <c r="K100" s="175">
        <f>J$107-CDPS!F$132</f>
        <v>0</v>
      </c>
      <c r="L100" s="175">
        <f>J$107-CDPS!G$132</f>
        <v>0</v>
      </c>
      <c r="M100" s="169" t="str">
        <f t="shared" si="23"/>
        <v>-</v>
      </c>
      <c r="N100" s="356" t="str">
        <f t="shared" si="24"/>
        <v>-</v>
      </c>
      <c r="O100" s="176" t="str">
        <f t="shared" si="29"/>
        <v/>
      </c>
      <c r="P100" s="177" t="str">
        <f t="shared" si="30"/>
        <v/>
      </c>
      <c r="Q100" s="178" t="str">
        <f t="shared" si="31"/>
        <v>-</v>
      </c>
      <c r="R100" s="178" t="str">
        <f t="shared" si="32"/>
        <v>-</v>
      </c>
    </row>
    <row r="101" spans="1:18" ht="18.75" customHeight="1">
      <c r="A101" s="169">
        <v>45382</v>
      </c>
      <c r="B101" s="169" t="s">
        <v>400</v>
      </c>
      <c r="C101" s="170"/>
      <c r="D101" s="169"/>
      <c r="E101" s="171" t="s">
        <v>493</v>
      </c>
      <c r="F101" s="184"/>
      <c r="G101" s="179"/>
      <c r="H101" s="182"/>
      <c r="I101" s="173"/>
      <c r="J101" s="183"/>
      <c r="K101" s="175">
        <f>J$107-CDPS!F$132</f>
        <v>0</v>
      </c>
      <c r="L101" s="175">
        <f>J$107-CDPS!G$132</f>
        <v>0</v>
      </c>
      <c r="M101" s="169" t="str">
        <f t="shared" si="23"/>
        <v>-</v>
      </c>
      <c r="N101" s="356" t="str">
        <f t="shared" si="24"/>
        <v>-</v>
      </c>
      <c r="O101" s="176" t="str">
        <f t="shared" ref="O101:O106" si="33">IF(P101&lt;&gt;"",$E101,"")</f>
        <v/>
      </c>
      <c r="P101" s="177" t="str">
        <f t="shared" ref="P101:P106" si="34">IF(LEFT(Q$6,R$5)=LEFT($F101,R$5),$G101,"")&amp;IF(LEFT(Q$6,R$5)=LEFT($G101,R$5),$F101,"")</f>
        <v/>
      </c>
      <c r="Q101" s="178" t="str">
        <f t="shared" ref="Q101:Q106" si="35">IF(LEFT(Q$6,R$5)=LEFT($F101,R$5),$J101,"-")</f>
        <v>-</v>
      </c>
      <c r="R101" s="178" t="str">
        <f t="shared" ref="R101:R106" si="36">IF(LEFT(Q$6,R$5)=LEFT($G101,R$5),$J101,"-")</f>
        <v>-</v>
      </c>
    </row>
    <row r="102" spans="1:18" ht="18.75" customHeight="1">
      <c r="A102" s="169"/>
      <c r="B102" s="169"/>
      <c r="C102" s="170"/>
      <c r="D102" s="169"/>
      <c r="E102" s="171"/>
      <c r="F102" s="184"/>
      <c r="G102" s="179"/>
      <c r="H102" s="182"/>
      <c r="I102" s="173"/>
      <c r="J102" s="183"/>
      <c r="K102" s="175">
        <f>J$107-CDPS!F$132</f>
        <v>0</v>
      </c>
      <c r="L102" s="175">
        <f>J$107-CDPS!G$132</f>
        <v>0</v>
      </c>
      <c r="M102" s="169" t="str">
        <f t="shared" si="23"/>
        <v>-</v>
      </c>
      <c r="N102" s="356" t="str">
        <f t="shared" si="24"/>
        <v>-</v>
      </c>
      <c r="O102" s="176" t="str">
        <f t="shared" si="33"/>
        <v/>
      </c>
      <c r="P102" s="177" t="str">
        <f t="shared" si="34"/>
        <v/>
      </c>
      <c r="Q102" s="178" t="str">
        <f t="shared" si="35"/>
        <v>-</v>
      </c>
      <c r="R102" s="178" t="str">
        <f t="shared" si="36"/>
        <v>-</v>
      </c>
    </row>
    <row r="103" spans="1:18" ht="18.75" customHeight="1">
      <c r="A103" s="169"/>
      <c r="B103" s="169"/>
      <c r="C103" s="170"/>
      <c r="D103" s="169"/>
      <c r="E103" s="171"/>
      <c r="F103" s="184"/>
      <c r="G103" s="179"/>
      <c r="H103" s="182"/>
      <c r="I103" s="173"/>
      <c r="J103" s="183"/>
      <c r="K103" s="175">
        <f>J$107-CDPS!F$132</f>
        <v>0</v>
      </c>
      <c r="L103" s="175">
        <f>J$107-CDPS!G$132</f>
        <v>0</v>
      </c>
      <c r="M103" s="169" t="str">
        <f t="shared" si="23"/>
        <v>-</v>
      </c>
      <c r="N103" s="356" t="str">
        <f t="shared" si="24"/>
        <v>-</v>
      </c>
      <c r="O103" s="176" t="str">
        <f t="shared" si="33"/>
        <v/>
      </c>
      <c r="P103" s="177" t="str">
        <f t="shared" si="34"/>
        <v/>
      </c>
      <c r="Q103" s="178" t="str">
        <f t="shared" si="35"/>
        <v>-</v>
      </c>
      <c r="R103" s="178" t="str">
        <f t="shared" si="36"/>
        <v>-</v>
      </c>
    </row>
    <row r="104" spans="1:18" ht="18.75" customHeight="1">
      <c r="A104" s="169"/>
      <c r="B104" s="169"/>
      <c r="C104" s="170"/>
      <c r="D104" s="169"/>
      <c r="E104" s="171"/>
      <c r="F104" s="184"/>
      <c r="G104" s="179"/>
      <c r="H104" s="182"/>
      <c r="I104" s="173"/>
      <c r="J104" s="183"/>
      <c r="K104" s="175">
        <f>J$107-CDPS!F$132</f>
        <v>0</v>
      </c>
      <c r="L104" s="175">
        <f>J$107-CDPS!G$132</f>
        <v>0</v>
      </c>
      <c r="M104" s="169" t="str">
        <f t="shared" si="23"/>
        <v>-</v>
      </c>
      <c r="N104" s="356" t="str">
        <f t="shared" si="24"/>
        <v>-</v>
      </c>
      <c r="O104" s="176" t="str">
        <f t="shared" si="33"/>
        <v/>
      </c>
      <c r="P104" s="177" t="str">
        <f t="shared" si="34"/>
        <v/>
      </c>
      <c r="Q104" s="178" t="str">
        <f t="shared" si="35"/>
        <v>-</v>
      </c>
      <c r="R104" s="178" t="str">
        <f t="shared" si="36"/>
        <v>-</v>
      </c>
    </row>
    <row r="105" spans="1:18" ht="18.75" customHeight="1">
      <c r="A105" s="169"/>
      <c r="B105" s="169"/>
      <c r="C105" s="170"/>
      <c r="D105" s="169"/>
      <c r="E105" s="171"/>
      <c r="F105" s="179"/>
      <c r="G105" s="180"/>
      <c r="H105" s="182"/>
      <c r="I105" s="182"/>
      <c r="J105" s="183"/>
      <c r="K105" s="175">
        <f>J$107-CDPS!F$132</f>
        <v>0</v>
      </c>
      <c r="L105" s="175">
        <f>J$107-CDPS!G$132</f>
        <v>0</v>
      </c>
      <c r="M105" s="169" t="str">
        <f t="shared" si="23"/>
        <v>-</v>
      </c>
      <c r="N105" s="356" t="str">
        <f t="shared" si="24"/>
        <v>-</v>
      </c>
      <c r="O105" s="176" t="str">
        <f t="shared" si="33"/>
        <v/>
      </c>
      <c r="P105" s="177" t="str">
        <f t="shared" si="34"/>
        <v/>
      </c>
      <c r="Q105" s="178" t="str">
        <f t="shared" si="35"/>
        <v>-</v>
      </c>
      <c r="R105" s="178" t="str">
        <f t="shared" si="36"/>
        <v>-</v>
      </c>
    </row>
    <row r="106" spans="1:18" ht="18.75" customHeight="1">
      <c r="A106" s="169"/>
      <c r="B106" s="169"/>
      <c r="C106" s="192"/>
      <c r="D106" s="191"/>
      <c r="E106" s="193"/>
      <c r="F106" s="194"/>
      <c r="G106" s="195"/>
      <c r="H106" s="196"/>
      <c r="I106" s="355"/>
      <c r="J106" s="197"/>
      <c r="K106" s="175">
        <f>J$107-CDPS!F$132</f>
        <v>0</v>
      </c>
      <c r="L106" s="175">
        <f>J$107-CDPS!G$132</f>
        <v>0</v>
      </c>
      <c r="M106" s="169" t="str">
        <f t="shared" si="23"/>
        <v>-</v>
      </c>
      <c r="N106" s="356" t="str">
        <f t="shared" si="24"/>
        <v>-</v>
      </c>
      <c r="O106" s="176" t="str">
        <f t="shared" si="33"/>
        <v/>
      </c>
      <c r="P106" s="177" t="str">
        <f t="shared" si="34"/>
        <v/>
      </c>
      <c r="Q106" s="178" t="str">
        <f t="shared" si="35"/>
        <v>-</v>
      </c>
      <c r="R106" s="178" t="str">
        <f t="shared" si="36"/>
        <v>-</v>
      </c>
    </row>
    <row r="107" spans="1:18" ht="18.75" customHeight="1">
      <c r="A107" s="198"/>
      <c r="B107" s="199"/>
      <c r="C107" s="200"/>
      <c r="D107" s="199"/>
      <c r="E107" s="201" t="s">
        <v>13</v>
      </c>
      <c r="F107" s="201"/>
      <c r="G107" s="201"/>
      <c r="H107" s="202"/>
      <c r="I107" s="202"/>
      <c r="J107" s="203">
        <f>SUBTOTAL(9,J11:J106)</f>
        <v>0</v>
      </c>
      <c r="K107" s="204"/>
      <c r="L107" s="204"/>
      <c r="M107" s="205"/>
      <c r="N107" s="205"/>
      <c r="O107" s="206" t="s">
        <v>2</v>
      </c>
      <c r="P107" s="207"/>
      <c r="Q107" s="208">
        <f>SUBTOTAL(9,Q12:Q106)</f>
        <v>0</v>
      </c>
      <c r="R107" s="208">
        <f>SUBTOTAL(9,R12:R106)</f>
        <v>0</v>
      </c>
    </row>
    <row r="108" spans="1:18" ht="18.75" customHeight="1">
      <c r="A108" s="209"/>
      <c r="K108" s="210"/>
      <c r="L108" s="210"/>
      <c r="M108" s="205"/>
      <c r="N108" s="205"/>
      <c r="O108" s="211" t="s">
        <v>376</v>
      </c>
      <c r="P108" s="207"/>
      <c r="Q108" s="212">
        <f>MAX(Q11+Q107-R11-R107,0)</f>
        <v>1500000000</v>
      </c>
      <c r="R108" s="212">
        <f>MAX(R11+R107-Q11-Q107,0)</f>
        <v>0</v>
      </c>
    </row>
    <row r="109" spans="1:18" ht="18.75" customHeight="1">
      <c r="K109" s="213"/>
      <c r="L109" s="213"/>
      <c r="M109" s="214"/>
      <c r="N109" s="214"/>
      <c r="O109" s="214"/>
      <c r="P109" s="214"/>
      <c r="Q109" s="215"/>
    </row>
    <row r="110" spans="1:18" ht="18.75" customHeight="1">
      <c r="F110" s="121"/>
      <c r="G110" s="216" t="str">
        <f>Ttin!C6</f>
        <v>Ngày 31/05/2024</v>
      </c>
      <c r="H110" s="121"/>
      <c r="I110" s="121"/>
      <c r="J110" s="121"/>
      <c r="K110" s="121"/>
      <c r="L110" s="217"/>
      <c r="M110" s="214"/>
      <c r="N110" s="86"/>
      <c r="O110" s="121"/>
      <c r="P110" s="121"/>
      <c r="Q110" s="218" t="str">
        <f>Ttin!C6</f>
        <v>Ngày 31/05/2024</v>
      </c>
    </row>
    <row r="111" spans="1:18" ht="18.75" customHeight="1">
      <c r="A111" s="128"/>
      <c r="B111" s="86" t="s">
        <v>263</v>
      </c>
      <c r="C111" s="86"/>
      <c r="E111" s="219" t="s">
        <v>192</v>
      </c>
      <c r="F111" s="219"/>
      <c r="G111" s="219" t="s">
        <v>193</v>
      </c>
      <c r="H111" s="219"/>
      <c r="I111" s="219"/>
      <c r="J111" s="121"/>
      <c r="K111" s="121"/>
      <c r="L111" s="210"/>
      <c r="M111" s="220"/>
      <c r="N111" s="86" t="s">
        <v>263</v>
      </c>
      <c r="O111" s="214" t="s">
        <v>192</v>
      </c>
      <c r="P111" s="214"/>
      <c r="Q111" s="214" t="s">
        <v>193</v>
      </c>
    </row>
    <row r="112" spans="1:18" ht="18.75" customHeight="1">
      <c r="A112" s="128"/>
      <c r="C112" s="86"/>
      <c r="E112" s="219"/>
      <c r="F112" s="219"/>
      <c r="G112" s="219"/>
      <c r="H112" s="219"/>
      <c r="I112" s="219"/>
      <c r="J112" s="121"/>
      <c r="K112" s="121"/>
      <c r="L112" s="210"/>
      <c r="M112" s="220"/>
      <c r="N112" s="86"/>
      <c r="O112" s="214"/>
      <c r="P112" s="214"/>
      <c r="Q112" s="221"/>
    </row>
    <row r="113" spans="1:17" ht="18.75" customHeight="1">
      <c r="C113" s="86"/>
      <c r="E113" s="131"/>
      <c r="H113" s="222"/>
      <c r="I113" s="222"/>
      <c r="J113" s="121"/>
    </row>
    <row r="114" spans="1:17" ht="18.75" customHeight="1">
      <c r="C114" s="86"/>
      <c r="E114" s="131" t="s">
        <v>42</v>
      </c>
      <c r="H114" s="222"/>
      <c r="I114" s="222"/>
      <c r="J114" s="121"/>
      <c r="K114" s="223"/>
      <c r="L114" s="223"/>
    </row>
    <row r="115" spans="1:17" ht="18.75" customHeight="1">
      <c r="C115" s="86"/>
      <c r="E115" s="131"/>
      <c r="H115" s="222"/>
      <c r="I115" s="222"/>
      <c r="J115" s="121"/>
      <c r="K115" s="223"/>
      <c r="L115" s="223"/>
    </row>
    <row r="116" spans="1:17" ht="18.75" customHeight="1">
      <c r="B116" s="122" t="str">
        <f>Ttin!C10</f>
        <v>Bùi Ngọc Thủy Tiên</v>
      </c>
      <c r="C116" s="86"/>
      <c r="E116" s="122" t="str">
        <f>Ttin!C9</f>
        <v>Lâm Văn Bền</v>
      </c>
      <c r="G116" s="86" t="str">
        <f>Ttin!C8</f>
        <v>Hồ Ngọc Linh</v>
      </c>
      <c r="H116" s="222"/>
      <c r="I116" s="222"/>
      <c r="J116" s="121"/>
      <c r="K116" s="223"/>
      <c r="L116" s="223"/>
      <c r="N116" s="86" t="str">
        <f>Ttin!C10</f>
        <v>Bùi Ngọc Thủy Tiên</v>
      </c>
      <c r="O116" s="122" t="str">
        <f>Ttin!C9</f>
        <v>Lâm Văn Bền</v>
      </c>
      <c r="Q116" s="86" t="str">
        <f>Ttin!C8</f>
        <v>Hồ Ngọc Linh</v>
      </c>
    </row>
    <row r="117" spans="1:17" ht="18.75" customHeight="1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</row>
    <row r="118" spans="1:17" ht="18.75" customHeight="1">
      <c r="J118" s="121"/>
      <c r="K118" s="223"/>
      <c r="L118" s="223"/>
    </row>
    <row r="119" spans="1:17" ht="18.75" customHeight="1">
      <c r="J119" s="121"/>
    </row>
    <row r="120" spans="1:17" ht="18.75" customHeight="1">
      <c r="J120" s="121"/>
    </row>
    <row r="121" spans="1:17" ht="18.75" customHeight="1">
      <c r="J121" s="121"/>
    </row>
    <row r="122" spans="1:17" ht="18.75" customHeight="1"/>
    <row r="123" spans="1:17" ht="18.75" customHeight="1"/>
    <row r="124" spans="1:17" ht="18.75" customHeight="1"/>
    <row r="125" spans="1:17" ht="18.75" customHeight="1"/>
  </sheetData>
  <autoFilter ref="A10:R106" xr:uid="{00000000-0009-0000-0000-000004000000}"/>
  <dataConsolidate/>
  <mergeCells count="11">
    <mergeCell ref="Q8:R8"/>
    <mergeCell ref="P8:P9"/>
    <mergeCell ref="M8:N8"/>
    <mergeCell ref="O8:O9"/>
    <mergeCell ref="A8:B8"/>
    <mergeCell ref="F8:G8"/>
    <mergeCell ref="E8:E9"/>
    <mergeCell ref="J8:J9"/>
    <mergeCell ref="H8:H9"/>
    <mergeCell ref="C8:D8"/>
    <mergeCell ref="I8:I9"/>
  </mergeCells>
  <phoneticPr fontId="2" type="noConversion"/>
  <dataValidations disablePrompts="1" count="1">
    <dataValidation type="list" allowBlank="1" showInputMessage="1" showErrorMessage="1" sqref="M115" xr:uid="{00000000-0002-0000-0400-000000000000}">
      <formula1>CDPS_taikhoan</formula1>
    </dataValidation>
  </dataValidations>
  <printOptions horizontalCentered="1"/>
  <pageMargins left="0.19685039370078741" right="0.19685039370078741" top="0.39370078740157483" bottom="0.39370078740157483" header="0.23622047244094491" footer="0.23622047244094491"/>
  <pageSetup paperSize="9" scale="63" fitToHeight="8" orientation="portrait" r:id="rId1"/>
  <headerFooter alignWithMargins="0">
    <oddFooter>&amp;C&amp;10Trang 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36" r:id="rId4" name="Drop Down 44">
              <controlPr defaultSize="0" print="0" autoLine="0" autoPict="0">
                <anchor moveWithCells="1">
                  <from>
                    <xdr:col>17</xdr:col>
                    <xdr:colOff>152400</xdr:colOff>
                    <xdr:row>4</xdr:row>
                    <xdr:rowOff>0</xdr:rowOff>
                  </from>
                  <to>
                    <xdr:col>18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rgb="FF00B050"/>
    <pageSetUpPr fitToPage="1"/>
  </sheetPr>
  <dimension ref="A1:T139"/>
  <sheetViews>
    <sheetView showZeros="0" topLeftCell="A114" zoomScale="85" zoomScaleNormal="85" workbookViewId="0">
      <selection activeCell="C61" sqref="C61"/>
    </sheetView>
  </sheetViews>
  <sheetFormatPr defaultColWidth="9" defaultRowHeight="15.75"/>
  <cols>
    <col min="1" max="1" width="6.109375" style="121" customWidth="1"/>
    <col min="2" max="2" width="13.6640625" style="121" customWidth="1"/>
    <col min="3" max="3" width="35.88671875" style="121" customWidth="1"/>
    <col min="4" max="5" width="17.44140625" style="121" customWidth="1"/>
    <col min="6" max="7" width="17.44140625" style="224" customWidth="1"/>
    <col min="8" max="9" width="17.44140625" style="121" customWidth="1"/>
    <col min="10" max="10" width="3.21875" style="217" customWidth="1"/>
    <col min="11" max="11" width="18.44140625" style="121" customWidth="1"/>
    <col min="12" max="12" width="17" style="121" customWidth="1"/>
    <col min="13" max="13" width="17.109375" style="121" customWidth="1"/>
    <col min="14" max="14" width="9" style="121"/>
    <col min="15" max="15" width="11.6640625" style="121" customWidth="1"/>
    <col min="16" max="16384" width="9" style="121"/>
  </cols>
  <sheetData>
    <row r="1" spans="1:20" ht="27.75" customHeight="1">
      <c r="B1" s="4" t="str">
        <f>Ttin!C2</f>
        <v>Công ty Cổ phần Sản xuất Thương mại APEC</v>
      </c>
    </row>
    <row r="2" spans="1:20" ht="18.75" customHeight="1">
      <c r="B2" s="8" t="str">
        <f>Ttin!C3</f>
        <v>32 đường số 7, Phường Bình Hưng Hòa, Quận Bình Tân, TP Hồ Chí Minh</v>
      </c>
    </row>
    <row r="3" spans="1:20" ht="24" customHeight="1">
      <c r="B3" s="225" t="s">
        <v>43</v>
      </c>
      <c r="C3" s="226"/>
      <c r="D3" s="226"/>
      <c r="E3" s="226"/>
      <c r="F3" s="227"/>
      <c r="G3" s="227"/>
      <c r="H3" s="226"/>
      <c r="I3" s="226"/>
    </row>
    <row r="4" spans="1:20" ht="18" customHeight="1">
      <c r="B4" s="228" t="str">
        <f>Ttin!C5</f>
        <v>Tháng 5/2024</v>
      </c>
      <c r="C4" s="89"/>
      <c r="D4" s="89"/>
      <c r="E4" s="89"/>
      <c r="F4" s="229"/>
      <c r="G4" s="229"/>
      <c r="H4" s="89"/>
      <c r="I4" s="89"/>
    </row>
    <row r="5" spans="1:20" ht="21.75" customHeight="1">
      <c r="I5" s="230" t="s">
        <v>190</v>
      </c>
    </row>
    <row r="6" spans="1:20" ht="21.95" customHeight="1">
      <c r="B6" s="231" t="s">
        <v>17</v>
      </c>
      <c r="C6" s="231" t="s">
        <v>252</v>
      </c>
      <c r="D6" s="232" t="s">
        <v>367</v>
      </c>
      <c r="E6" s="232"/>
      <c r="F6" s="233" t="s">
        <v>368</v>
      </c>
      <c r="G6" s="233"/>
      <c r="H6" s="232" t="s">
        <v>369</v>
      </c>
      <c r="I6" s="232"/>
    </row>
    <row r="7" spans="1:20" ht="21.95" customHeight="1">
      <c r="B7" s="234"/>
      <c r="C7" s="234"/>
      <c r="D7" s="231" t="s">
        <v>22</v>
      </c>
      <c r="E7" s="231" t="s">
        <v>23</v>
      </c>
      <c r="F7" s="235" t="s">
        <v>22</v>
      </c>
      <c r="G7" s="235" t="s">
        <v>23</v>
      </c>
      <c r="H7" s="231" t="s">
        <v>22</v>
      </c>
      <c r="I7" s="231" t="s">
        <v>23</v>
      </c>
    </row>
    <row r="8" spans="1:20" s="242" customFormat="1" ht="21.95" customHeight="1">
      <c r="A8" s="236" t="str">
        <f t="shared" ref="A8:A62" si="0">IF(SUM(D8:I8)&lt;&gt;0,"1","o")</f>
        <v>1</v>
      </c>
      <c r="B8" s="237" t="s">
        <v>14</v>
      </c>
      <c r="C8" s="238" t="s">
        <v>16</v>
      </c>
      <c r="D8" s="239">
        <f t="shared" ref="D8:I8" si="1">SUBTOTAL(9,D9:D9)</f>
        <v>1500000000</v>
      </c>
      <c r="E8" s="239">
        <f t="shared" si="1"/>
        <v>0</v>
      </c>
      <c r="F8" s="240">
        <f t="shared" si="1"/>
        <v>0</v>
      </c>
      <c r="G8" s="240">
        <f t="shared" si="1"/>
        <v>0</v>
      </c>
      <c r="H8" s="240">
        <f t="shared" si="1"/>
        <v>1500000000</v>
      </c>
      <c r="I8" s="240">
        <f t="shared" si="1"/>
        <v>0</v>
      </c>
      <c r="J8" s="217"/>
      <c r="K8" s="121"/>
      <c r="L8" s="217"/>
      <c r="M8" s="217"/>
      <c r="N8" s="241"/>
      <c r="O8" s="241"/>
      <c r="P8" s="121"/>
      <c r="Q8" s="121"/>
      <c r="R8" s="121"/>
      <c r="S8" s="121"/>
      <c r="T8" s="121"/>
    </row>
    <row r="9" spans="1:20" s="242" customFormat="1" ht="21.95" customHeight="1">
      <c r="A9" s="236" t="str">
        <f t="shared" si="0"/>
        <v>1</v>
      </c>
      <c r="B9" s="180" t="s">
        <v>44</v>
      </c>
      <c r="C9" s="180" t="s">
        <v>45</v>
      </c>
      <c r="D9" s="317">
        <v>1500000000</v>
      </c>
      <c r="E9" s="243">
        <v>0</v>
      </c>
      <c r="F9" s="244">
        <f>SUMIF(nhatky_tkno,B9,nhatky_sotien)</f>
        <v>0</v>
      </c>
      <c r="G9" s="244">
        <f>SUMIF(nhatky_tkco,B9,nhatky_sotien)</f>
        <v>0</v>
      </c>
      <c r="H9" s="244">
        <f>MAX(D9+F9-E9-G9,0)</f>
        <v>1500000000</v>
      </c>
      <c r="I9" s="244">
        <f>MAX(E9+G9-D9-F9,0)</f>
        <v>0</v>
      </c>
      <c r="J9" s="217"/>
      <c r="K9" s="241"/>
      <c r="L9" s="217"/>
      <c r="M9" s="217"/>
      <c r="N9" s="241"/>
      <c r="O9" s="241"/>
      <c r="P9" s="121"/>
      <c r="Q9" s="121"/>
      <c r="R9" s="121"/>
      <c r="S9" s="121"/>
      <c r="T9" s="121"/>
    </row>
    <row r="10" spans="1:20" s="242" customFormat="1" ht="21.95" customHeight="1">
      <c r="A10" s="236" t="str">
        <f t="shared" si="0"/>
        <v>1</v>
      </c>
      <c r="B10" s="245" t="s">
        <v>11</v>
      </c>
      <c r="C10" s="181" t="s">
        <v>33</v>
      </c>
      <c r="D10" s="246">
        <f t="shared" ref="D10:I10" si="2">SUBTOTAL(9,D11:D13)</f>
        <v>1400000000</v>
      </c>
      <c r="E10" s="246">
        <f t="shared" si="2"/>
        <v>0</v>
      </c>
      <c r="F10" s="247">
        <f t="shared" si="2"/>
        <v>0</v>
      </c>
      <c r="G10" s="247">
        <f t="shared" si="2"/>
        <v>0</v>
      </c>
      <c r="H10" s="247">
        <f t="shared" si="2"/>
        <v>1400000000</v>
      </c>
      <c r="I10" s="247">
        <f t="shared" si="2"/>
        <v>0</v>
      </c>
      <c r="J10" s="217"/>
      <c r="K10" s="121"/>
      <c r="L10" s="217"/>
      <c r="M10" s="217"/>
      <c r="N10" s="241"/>
      <c r="O10" s="241"/>
      <c r="P10" s="121"/>
      <c r="Q10" s="121"/>
      <c r="R10" s="121"/>
      <c r="S10" s="121"/>
      <c r="T10" s="121"/>
    </row>
    <row r="11" spans="1:20" s="242" customFormat="1" ht="21.95" customHeight="1">
      <c r="A11" s="236" t="str">
        <f t="shared" si="0"/>
        <v>1</v>
      </c>
      <c r="B11" s="184" t="s">
        <v>46</v>
      </c>
      <c r="C11" s="184" t="s">
        <v>384</v>
      </c>
      <c r="D11" s="248">
        <f t="shared" ref="D11:I11" si="3">SUBTOTAL(9,D12:D13)</f>
        <v>1400000000</v>
      </c>
      <c r="E11" s="248">
        <f t="shared" si="3"/>
        <v>0</v>
      </c>
      <c r="F11" s="190">
        <f t="shared" si="3"/>
        <v>0</v>
      </c>
      <c r="G11" s="190">
        <f t="shared" si="3"/>
        <v>0</v>
      </c>
      <c r="H11" s="190">
        <f t="shared" si="3"/>
        <v>1400000000</v>
      </c>
      <c r="I11" s="190">
        <f t="shared" si="3"/>
        <v>0</v>
      </c>
      <c r="J11" s="217"/>
      <c r="K11" s="131"/>
      <c r="L11" s="217"/>
      <c r="M11" s="217"/>
      <c r="N11" s="241"/>
      <c r="O11" s="241"/>
      <c r="P11" s="121"/>
      <c r="Q11" s="121"/>
      <c r="R11" s="121"/>
      <c r="S11" s="121"/>
      <c r="T11" s="121"/>
    </row>
    <row r="12" spans="1:20" s="242" customFormat="1" ht="21.95" customHeight="1">
      <c r="A12" s="236" t="str">
        <f t="shared" si="0"/>
        <v>1</v>
      </c>
      <c r="B12" s="180" t="s">
        <v>47</v>
      </c>
      <c r="C12" s="180" t="s">
        <v>424</v>
      </c>
      <c r="D12" s="243">
        <v>1400000000</v>
      </c>
      <c r="E12" s="243">
        <v>0</v>
      </c>
      <c r="F12" s="244">
        <f>SUMIF(nhatky_tkno,B12,nhatky_sotien)</f>
        <v>0</v>
      </c>
      <c r="G12" s="244">
        <f>SUMIF(nhatky_tkco,B12,nhatky_sotien)</f>
        <v>0</v>
      </c>
      <c r="H12" s="244">
        <f>MAX(D12+F12-E12-G12,0)</f>
        <v>1400000000</v>
      </c>
      <c r="I12" s="244">
        <f>MAX(E12+G12-D12-F12,0)</f>
        <v>0</v>
      </c>
      <c r="J12" s="217"/>
      <c r="K12" s="129"/>
      <c r="L12" s="217"/>
      <c r="M12" s="217"/>
      <c r="N12" s="241"/>
      <c r="O12" s="241"/>
      <c r="P12" s="121"/>
      <c r="Q12" s="121"/>
      <c r="R12" s="121"/>
      <c r="S12" s="121"/>
      <c r="T12" s="121"/>
    </row>
    <row r="13" spans="1:20" s="242" customFormat="1" ht="21.95" customHeight="1">
      <c r="A13" s="236" t="str">
        <f t="shared" si="0"/>
        <v>o</v>
      </c>
      <c r="B13" s="180" t="s">
        <v>48</v>
      </c>
      <c r="C13" s="180" t="s">
        <v>385</v>
      </c>
      <c r="D13" s="243"/>
      <c r="E13" s="243">
        <v>0</v>
      </c>
      <c r="F13" s="244">
        <f>SUMIF(nhatky_tkno,B13,nhatky_sotien)</f>
        <v>0</v>
      </c>
      <c r="G13" s="244">
        <f>SUMIF(nhatky_tkco,B13,nhatky_sotien)</f>
        <v>0</v>
      </c>
      <c r="H13" s="244">
        <f>MAX(D13+F13-E13-G13,0)</f>
        <v>0</v>
      </c>
      <c r="I13" s="244">
        <f>MAX(E13+G13-D13-F13,0)</f>
        <v>0</v>
      </c>
      <c r="J13" s="217"/>
      <c r="K13" s="121"/>
      <c r="L13" s="217"/>
      <c r="M13" s="217"/>
      <c r="N13" s="241"/>
      <c r="O13" s="241"/>
      <c r="P13" s="121"/>
      <c r="Q13" s="121"/>
      <c r="R13" s="121"/>
      <c r="S13" s="121"/>
      <c r="T13" s="121"/>
    </row>
    <row r="14" spans="1:20" s="242" customFormat="1" ht="21.95" customHeight="1">
      <c r="A14" s="236" t="str">
        <f t="shared" si="0"/>
        <v>1</v>
      </c>
      <c r="B14" s="245" t="s">
        <v>35</v>
      </c>
      <c r="C14" s="181" t="s">
        <v>49</v>
      </c>
      <c r="D14" s="246">
        <f t="shared" ref="D14:I14" si="4">SUBTOTAL(9,D15:D19)</f>
        <v>300000000</v>
      </c>
      <c r="E14" s="246">
        <f t="shared" si="4"/>
        <v>0</v>
      </c>
      <c r="F14" s="247">
        <f t="shared" si="4"/>
        <v>0</v>
      </c>
      <c r="G14" s="247">
        <f t="shared" si="4"/>
        <v>0</v>
      </c>
      <c r="H14" s="247">
        <f t="shared" si="4"/>
        <v>300000000</v>
      </c>
      <c r="I14" s="247">
        <f t="shared" si="4"/>
        <v>0</v>
      </c>
      <c r="J14" s="217"/>
      <c r="K14" s="121"/>
      <c r="L14" s="217"/>
      <c r="M14" s="217"/>
      <c r="N14" s="241"/>
      <c r="O14" s="241"/>
      <c r="P14" s="121"/>
      <c r="Q14" s="121"/>
      <c r="R14" s="121"/>
      <c r="S14" s="121"/>
      <c r="T14" s="121"/>
    </row>
    <row r="15" spans="1:20" s="242" customFormat="1" ht="21.95" customHeight="1">
      <c r="A15" s="236" t="str">
        <f t="shared" si="0"/>
        <v>1</v>
      </c>
      <c r="B15" s="179" t="s">
        <v>373</v>
      </c>
      <c r="C15" s="180" t="s">
        <v>459</v>
      </c>
      <c r="D15" s="243">
        <v>300000000</v>
      </c>
      <c r="E15" s="243">
        <v>0</v>
      </c>
      <c r="F15" s="244">
        <f t="shared" ref="F15:F19" si="5">SUMIF(nhatky_tkno,B15,nhatky_sotien)</f>
        <v>0</v>
      </c>
      <c r="G15" s="244">
        <f t="shared" ref="G15:G19" si="6">SUMIF(nhatky_tkco,B15,nhatky_sotien)</f>
        <v>0</v>
      </c>
      <c r="H15" s="244">
        <f>MAX(D15+F15-E15-G15,0)</f>
        <v>300000000</v>
      </c>
      <c r="I15" s="244">
        <f>MAX(E15+G15-D15-F15,0)</f>
        <v>0</v>
      </c>
      <c r="J15" s="217"/>
      <c r="K15" s="241"/>
      <c r="L15" s="217"/>
      <c r="M15" s="217"/>
      <c r="N15" s="241"/>
      <c r="O15" s="241"/>
      <c r="P15" s="121"/>
      <c r="Q15" s="121"/>
      <c r="R15" s="121"/>
      <c r="S15" s="121"/>
      <c r="T15" s="121"/>
    </row>
    <row r="16" spans="1:20" s="242" customFormat="1" ht="21.95" customHeight="1">
      <c r="A16" s="236" t="str">
        <f t="shared" si="0"/>
        <v>o</v>
      </c>
      <c r="B16" s="179" t="s">
        <v>374</v>
      </c>
      <c r="C16" s="180" t="s">
        <v>393</v>
      </c>
      <c r="D16" s="243"/>
      <c r="E16" s="243">
        <v>0</v>
      </c>
      <c r="F16" s="244">
        <f t="shared" si="5"/>
        <v>0</v>
      </c>
      <c r="G16" s="244">
        <f t="shared" si="6"/>
        <v>0</v>
      </c>
      <c r="H16" s="244">
        <f>MAX(D16+F16-E16-G16,0)</f>
        <v>0</v>
      </c>
      <c r="I16" s="244">
        <f>MAX(E16+G16-D16-F16,0)</f>
        <v>0</v>
      </c>
      <c r="J16" s="217"/>
      <c r="K16" s="121"/>
      <c r="L16" s="217"/>
      <c r="M16" s="217"/>
      <c r="N16" s="241"/>
      <c r="O16" s="241"/>
      <c r="P16" s="121"/>
      <c r="Q16" s="121"/>
      <c r="R16" s="121"/>
      <c r="S16" s="121"/>
      <c r="T16" s="121"/>
    </row>
    <row r="17" spans="1:20" s="242" customFormat="1" ht="21.95" customHeight="1">
      <c r="A17" s="236" t="str">
        <f t="shared" ref="A17" si="7">IF(SUM(D17:I17)&lt;&gt;0,"1","o")</f>
        <v>o</v>
      </c>
      <c r="B17" s="179" t="s">
        <v>394</v>
      </c>
      <c r="C17" s="180" t="s">
        <v>398</v>
      </c>
      <c r="D17" s="243"/>
      <c r="E17" s="243">
        <v>0</v>
      </c>
      <c r="F17" s="244">
        <f t="shared" si="5"/>
        <v>0</v>
      </c>
      <c r="G17" s="244">
        <f t="shared" si="6"/>
        <v>0</v>
      </c>
      <c r="H17" s="244">
        <f t="shared" ref="H17" si="8">MAX(D17+F17-E17-G17,0)</f>
        <v>0</v>
      </c>
      <c r="I17" s="244">
        <f t="shared" ref="I17" si="9">MAX(E17+G17-D17-F17,0)</f>
        <v>0</v>
      </c>
      <c r="J17" s="217"/>
      <c r="K17" s="121"/>
      <c r="L17" s="217"/>
      <c r="M17" s="217"/>
      <c r="N17" s="241"/>
      <c r="O17" s="241"/>
      <c r="P17" s="121"/>
      <c r="Q17" s="121"/>
      <c r="R17" s="121"/>
      <c r="S17" s="121"/>
      <c r="T17" s="121"/>
    </row>
    <row r="18" spans="1:20" s="242" customFormat="1" ht="21.95" customHeight="1">
      <c r="A18" s="236" t="str">
        <f t="shared" ref="A18:A19" si="10">IF(SUM(D18:I18)&lt;&gt;0,"1","o")</f>
        <v>o</v>
      </c>
      <c r="B18" s="179" t="s">
        <v>395</v>
      </c>
      <c r="C18" s="180" t="s">
        <v>437</v>
      </c>
      <c r="D18" s="243"/>
      <c r="E18" s="243">
        <v>0</v>
      </c>
      <c r="F18" s="244">
        <f t="shared" si="5"/>
        <v>0</v>
      </c>
      <c r="G18" s="244">
        <f t="shared" si="6"/>
        <v>0</v>
      </c>
      <c r="H18" s="244">
        <f t="shared" ref="H18:H19" si="11">MAX(D18+F18-E18-G18,0)</f>
        <v>0</v>
      </c>
      <c r="I18" s="244">
        <f t="shared" ref="I18:I19" si="12">MAX(E18+G18-D18-F18,0)</f>
        <v>0</v>
      </c>
      <c r="J18" s="217"/>
      <c r="K18" s="121"/>
      <c r="L18" s="217"/>
      <c r="M18" s="217"/>
      <c r="N18" s="241"/>
      <c r="O18" s="241"/>
      <c r="P18" s="121"/>
      <c r="Q18" s="121"/>
      <c r="R18" s="121"/>
      <c r="S18" s="121"/>
      <c r="T18" s="121"/>
    </row>
    <row r="19" spans="1:20" s="242" customFormat="1" ht="21.95" customHeight="1">
      <c r="A19" s="236" t="str">
        <f t="shared" si="10"/>
        <v>o</v>
      </c>
      <c r="B19" s="179" t="s">
        <v>401</v>
      </c>
      <c r="C19" s="180" t="s">
        <v>375</v>
      </c>
      <c r="D19" s="243"/>
      <c r="E19" s="243">
        <v>0</v>
      </c>
      <c r="F19" s="244">
        <f t="shared" si="5"/>
        <v>0</v>
      </c>
      <c r="G19" s="244">
        <f t="shared" si="6"/>
        <v>0</v>
      </c>
      <c r="H19" s="244">
        <f t="shared" si="11"/>
        <v>0</v>
      </c>
      <c r="I19" s="244">
        <f t="shared" si="12"/>
        <v>0</v>
      </c>
      <c r="J19" s="217"/>
      <c r="K19" s="121"/>
      <c r="L19" s="217"/>
      <c r="M19" s="217"/>
      <c r="N19" s="241"/>
      <c r="O19" s="241"/>
      <c r="P19" s="121"/>
      <c r="Q19" s="121"/>
      <c r="R19" s="121"/>
      <c r="S19" s="121"/>
      <c r="T19" s="121"/>
    </row>
    <row r="20" spans="1:20" s="242" customFormat="1" ht="21.95" customHeight="1">
      <c r="A20" s="236" t="str">
        <f t="shared" si="0"/>
        <v>o</v>
      </c>
      <c r="B20" s="245">
        <v>133</v>
      </c>
      <c r="C20" s="245" t="s">
        <v>50</v>
      </c>
      <c r="D20" s="249">
        <f t="shared" ref="D20:I20" si="13">SUBTOTAL(9,D21:D22)</f>
        <v>0</v>
      </c>
      <c r="E20" s="249">
        <f t="shared" si="13"/>
        <v>0</v>
      </c>
      <c r="F20" s="250">
        <f>SUBTOTAL(9,F21:F22)</f>
        <v>0</v>
      </c>
      <c r="G20" s="250">
        <f t="shared" si="13"/>
        <v>0</v>
      </c>
      <c r="H20" s="250">
        <f t="shared" si="13"/>
        <v>0</v>
      </c>
      <c r="I20" s="250">
        <f t="shared" si="13"/>
        <v>0</v>
      </c>
      <c r="J20" s="217"/>
      <c r="K20" s="217"/>
      <c r="L20" s="217"/>
      <c r="M20" s="217"/>
      <c r="N20" s="241"/>
      <c r="O20" s="241"/>
      <c r="P20" s="121"/>
      <c r="Q20" s="121"/>
      <c r="R20" s="121"/>
      <c r="S20" s="121"/>
      <c r="T20" s="121"/>
    </row>
    <row r="21" spans="1:20" s="242" customFormat="1" ht="21.95" customHeight="1">
      <c r="A21" s="236" t="str">
        <f t="shared" si="0"/>
        <v>o</v>
      </c>
      <c r="B21" s="179">
        <v>1331</v>
      </c>
      <c r="C21" s="180" t="s">
        <v>51</v>
      </c>
      <c r="D21" s="243"/>
      <c r="E21" s="243"/>
      <c r="F21" s="244">
        <f>SUMIF(nhatky_tkno,B21,nhatky_sotien)</f>
        <v>0</v>
      </c>
      <c r="G21" s="244">
        <f>SUMIF(nhatky_tkco,B21,nhatky_sotien)</f>
        <v>0</v>
      </c>
      <c r="H21" s="244">
        <f>MAX(D21+F21-E21-G21,0)</f>
        <v>0</v>
      </c>
      <c r="I21" s="244">
        <f>MAX(E21+G21-D21-F21,0)</f>
        <v>0</v>
      </c>
      <c r="J21" s="217"/>
      <c r="K21" s="241"/>
      <c r="L21" s="217"/>
      <c r="M21" s="217"/>
      <c r="N21" s="241"/>
      <c r="O21" s="241"/>
      <c r="P21" s="121"/>
      <c r="Q21" s="121"/>
      <c r="R21" s="121"/>
      <c r="S21" s="121"/>
      <c r="T21" s="121"/>
    </row>
    <row r="22" spans="1:20" s="242" customFormat="1" ht="21.95" customHeight="1">
      <c r="A22" s="236" t="str">
        <f t="shared" si="0"/>
        <v>o</v>
      </c>
      <c r="B22" s="179">
        <v>1332</v>
      </c>
      <c r="C22" s="180" t="s">
        <v>52</v>
      </c>
      <c r="D22" s="243"/>
      <c r="E22" s="243">
        <v>0</v>
      </c>
      <c r="F22" s="244">
        <f>SUMIF(nhatky_tkno,B22,nhatky_sotien)</f>
        <v>0</v>
      </c>
      <c r="G22" s="244">
        <f>SUMIF(nhatky_tkco,B22,nhatky_sotien)</f>
        <v>0</v>
      </c>
      <c r="H22" s="244">
        <f>MAX(D22+F22-E22-G22,0)</f>
        <v>0</v>
      </c>
      <c r="I22" s="244">
        <f>MAX(E22+G22-D22-F22,0)</f>
        <v>0</v>
      </c>
      <c r="J22" s="217"/>
      <c r="K22" s="217"/>
      <c r="L22" s="217"/>
      <c r="M22" s="217"/>
      <c r="N22" s="241"/>
      <c r="O22" s="241"/>
      <c r="P22" s="121"/>
      <c r="Q22" s="121"/>
      <c r="R22" s="121"/>
      <c r="S22" s="121"/>
      <c r="T22" s="121"/>
    </row>
    <row r="23" spans="1:20" s="242" customFormat="1" ht="21.95" customHeight="1">
      <c r="A23" s="236" t="str">
        <f t="shared" si="0"/>
        <v>1</v>
      </c>
      <c r="B23" s="245">
        <v>138</v>
      </c>
      <c r="C23" s="245" t="s">
        <v>244</v>
      </c>
      <c r="D23" s="246">
        <f t="shared" ref="D23:I23" si="14">SUBTOTAL(9,D24:D26)</f>
        <v>2590000000</v>
      </c>
      <c r="E23" s="246">
        <f t="shared" si="14"/>
        <v>0</v>
      </c>
      <c r="F23" s="247">
        <f t="shared" si="14"/>
        <v>0</v>
      </c>
      <c r="G23" s="247">
        <f t="shared" si="14"/>
        <v>0</v>
      </c>
      <c r="H23" s="247">
        <f t="shared" si="14"/>
        <v>2590000000</v>
      </c>
      <c r="I23" s="247">
        <f t="shared" si="14"/>
        <v>0</v>
      </c>
      <c r="J23" s="217"/>
      <c r="K23" s="251"/>
      <c r="L23" s="217"/>
      <c r="M23" s="217"/>
      <c r="N23" s="241"/>
      <c r="O23" s="241"/>
      <c r="P23" s="121"/>
      <c r="Q23" s="121"/>
      <c r="R23" s="121"/>
      <c r="S23" s="121"/>
      <c r="T23" s="121"/>
    </row>
    <row r="24" spans="1:20" s="242" customFormat="1" ht="21.95" customHeight="1">
      <c r="A24" s="236" t="str">
        <f t="shared" si="0"/>
        <v>1</v>
      </c>
      <c r="B24" s="185">
        <v>1388</v>
      </c>
      <c r="C24" s="184" t="s">
        <v>244</v>
      </c>
      <c r="D24" s="248">
        <f t="shared" ref="D24:I24" si="15">SUBTOTAL(9,D25:D26)</f>
        <v>2590000000</v>
      </c>
      <c r="E24" s="248">
        <f t="shared" si="15"/>
        <v>0</v>
      </c>
      <c r="F24" s="190">
        <f t="shared" si="15"/>
        <v>0</v>
      </c>
      <c r="G24" s="190">
        <f t="shared" si="15"/>
        <v>0</v>
      </c>
      <c r="H24" s="190">
        <f t="shared" si="15"/>
        <v>2590000000</v>
      </c>
      <c r="I24" s="190">
        <f t="shared" si="15"/>
        <v>0</v>
      </c>
      <c r="J24" s="217"/>
      <c r="K24" s="241"/>
      <c r="L24" s="217"/>
      <c r="M24" s="217"/>
      <c r="N24" s="241"/>
      <c r="O24" s="241"/>
      <c r="P24" s="121"/>
      <c r="Q24" s="121"/>
      <c r="R24" s="121"/>
      <c r="S24" s="121"/>
      <c r="T24" s="121"/>
    </row>
    <row r="25" spans="1:20" s="242" customFormat="1" ht="21.95" customHeight="1">
      <c r="A25" s="236" t="str">
        <f t="shared" si="0"/>
        <v>1</v>
      </c>
      <c r="B25" s="179" t="s">
        <v>245</v>
      </c>
      <c r="C25" s="180" t="s">
        <v>496</v>
      </c>
      <c r="D25" s="243">
        <v>2590000000</v>
      </c>
      <c r="E25" s="243">
        <v>0</v>
      </c>
      <c r="F25" s="252">
        <f t="shared" ref="F25:F32" si="16">SUMIF(nhatky_tkno,B25,nhatky_sotien)</f>
        <v>0</v>
      </c>
      <c r="G25" s="244">
        <f t="shared" ref="G25:G32" si="17">SUMIF(nhatky_tkco,B25,nhatky_sotien)</f>
        <v>0</v>
      </c>
      <c r="H25" s="244">
        <f t="shared" ref="H25:H32" si="18">MAX(D25+F25-E25-G25,0)</f>
        <v>2590000000</v>
      </c>
      <c r="I25" s="244">
        <f t="shared" ref="I25:I32" si="19">MAX(E25+G25-D25-F25,0)</f>
        <v>0</v>
      </c>
      <c r="J25" s="217"/>
      <c r="K25" s="121"/>
      <c r="L25" s="217"/>
      <c r="M25" s="217"/>
      <c r="N25" s="241"/>
      <c r="O25" s="241"/>
      <c r="P25" s="121"/>
      <c r="Q25" s="121"/>
      <c r="R25" s="121"/>
      <c r="S25" s="121"/>
      <c r="T25" s="121"/>
    </row>
    <row r="26" spans="1:20" s="242" customFormat="1" ht="21.95" customHeight="1">
      <c r="A26" s="236" t="str">
        <f t="shared" si="0"/>
        <v>o</v>
      </c>
      <c r="B26" s="179" t="s">
        <v>246</v>
      </c>
      <c r="C26" s="180" t="s">
        <v>247</v>
      </c>
      <c r="D26" s="243"/>
      <c r="E26" s="243">
        <v>0</v>
      </c>
      <c r="F26" s="244">
        <f t="shared" si="16"/>
        <v>0</v>
      </c>
      <c r="G26" s="244">
        <f t="shared" si="17"/>
        <v>0</v>
      </c>
      <c r="H26" s="244">
        <f t="shared" si="18"/>
        <v>0</v>
      </c>
      <c r="I26" s="244">
        <f t="shared" si="19"/>
        <v>0</v>
      </c>
      <c r="J26" s="217"/>
      <c r="K26" s="121"/>
      <c r="L26" s="217"/>
      <c r="M26" s="217"/>
      <c r="N26" s="241"/>
      <c r="O26" s="241"/>
      <c r="P26" s="121"/>
      <c r="Q26" s="121"/>
      <c r="R26" s="121"/>
      <c r="S26" s="121"/>
      <c r="T26" s="121"/>
    </row>
    <row r="27" spans="1:20" s="242" customFormat="1" ht="21.95" customHeight="1">
      <c r="A27" s="236" t="str">
        <f t="shared" ref="A27:A29" si="20">IF(SUM(D27:I27)&lt;&gt;0,"1","o")</f>
        <v>o</v>
      </c>
      <c r="B27" s="245">
        <v>141</v>
      </c>
      <c r="C27" s="245" t="s">
        <v>428</v>
      </c>
      <c r="D27" s="249">
        <f t="shared" ref="D27:E27" si="21">SUBTOTAL(9,D28:D29)</f>
        <v>0</v>
      </c>
      <c r="E27" s="249">
        <f t="shared" si="21"/>
        <v>0</v>
      </c>
      <c r="F27" s="250">
        <f>SUBTOTAL(9,F28:F29)</f>
        <v>0</v>
      </c>
      <c r="G27" s="250">
        <f t="shared" ref="G27:I27" si="22">SUBTOTAL(9,G28:G29)</f>
        <v>0</v>
      </c>
      <c r="H27" s="250">
        <f t="shared" si="22"/>
        <v>0</v>
      </c>
      <c r="I27" s="250">
        <f t="shared" si="22"/>
        <v>0</v>
      </c>
      <c r="J27" s="217"/>
      <c r="K27" s="121"/>
      <c r="L27" s="217"/>
      <c r="M27" s="217"/>
      <c r="N27" s="241"/>
      <c r="O27" s="241"/>
      <c r="P27" s="121"/>
      <c r="Q27" s="121"/>
      <c r="R27" s="121"/>
      <c r="S27" s="121"/>
      <c r="T27" s="121"/>
    </row>
    <row r="28" spans="1:20" s="242" customFormat="1" ht="21.95" customHeight="1">
      <c r="A28" s="236" t="str">
        <f t="shared" si="20"/>
        <v>o</v>
      </c>
      <c r="B28" s="179" t="s">
        <v>429</v>
      </c>
      <c r="C28" s="180" t="s">
        <v>432</v>
      </c>
      <c r="D28" s="243"/>
      <c r="E28" s="243"/>
      <c r="F28" s="244">
        <f>SUMIF(nhatky_tkno,B28,nhatky_sotien)</f>
        <v>0</v>
      </c>
      <c r="G28" s="244">
        <f>SUMIF(nhatky_tkco,B28,nhatky_sotien)</f>
        <v>0</v>
      </c>
      <c r="H28" s="244">
        <f>MAX(D28+F28-E28-G28,0)</f>
        <v>0</v>
      </c>
      <c r="I28" s="244">
        <f>MAX(E28+G28-D28-F28,0)</f>
        <v>0</v>
      </c>
      <c r="J28" s="217"/>
      <c r="K28" s="121"/>
      <c r="L28" s="217"/>
      <c r="M28" s="217"/>
      <c r="N28" s="241"/>
      <c r="O28" s="241"/>
      <c r="P28" s="121"/>
      <c r="Q28" s="121"/>
      <c r="R28" s="121"/>
      <c r="S28" s="121"/>
      <c r="T28" s="121"/>
    </row>
    <row r="29" spans="1:20" s="242" customFormat="1" ht="21.95" customHeight="1">
      <c r="A29" s="236" t="str">
        <f t="shared" si="20"/>
        <v>o</v>
      </c>
      <c r="B29" s="179" t="s">
        <v>430</v>
      </c>
      <c r="C29" s="180" t="s">
        <v>431</v>
      </c>
      <c r="D29" s="243"/>
      <c r="E29" s="243">
        <v>0</v>
      </c>
      <c r="F29" s="244">
        <f>SUMIF(nhatky_tkno,B29,nhatky_sotien)</f>
        <v>0</v>
      </c>
      <c r="G29" s="244">
        <f>SUMIF(nhatky_tkco,B29,nhatky_sotien)</f>
        <v>0</v>
      </c>
      <c r="H29" s="244">
        <f>MAX(D29+F29-E29-G29,0)</f>
        <v>0</v>
      </c>
      <c r="I29" s="244">
        <f>MAX(E29+G29-D29-F29,0)</f>
        <v>0</v>
      </c>
      <c r="J29" s="217"/>
      <c r="K29" s="121"/>
      <c r="L29" s="217"/>
      <c r="M29" s="217"/>
      <c r="N29" s="241"/>
      <c r="O29" s="241"/>
      <c r="P29" s="121"/>
      <c r="Q29" s="121"/>
      <c r="R29" s="121"/>
      <c r="S29" s="121"/>
      <c r="T29" s="121"/>
    </row>
    <row r="30" spans="1:20" s="242" customFormat="1" ht="21.95" customHeight="1">
      <c r="A30" s="236" t="str">
        <f t="shared" si="0"/>
        <v>o</v>
      </c>
      <c r="B30" s="245" t="s">
        <v>18</v>
      </c>
      <c r="C30" s="181" t="s">
        <v>53</v>
      </c>
      <c r="D30" s="253"/>
      <c r="E30" s="253"/>
      <c r="F30" s="247">
        <f t="shared" si="16"/>
        <v>0</v>
      </c>
      <c r="G30" s="247">
        <f t="shared" si="17"/>
        <v>0</v>
      </c>
      <c r="H30" s="247">
        <f t="shared" si="18"/>
        <v>0</v>
      </c>
      <c r="I30" s="247">
        <f t="shared" si="19"/>
        <v>0</v>
      </c>
      <c r="J30" s="217"/>
      <c r="K30" s="217"/>
      <c r="L30" s="217"/>
      <c r="M30" s="217"/>
      <c r="N30" s="241"/>
      <c r="O30" s="241"/>
      <c r="P30" s="121"/>
      <c r="Q30" s="121"/>
      <c r="R30" s="121"/>
      <c r="S30" s="121"/>
      <c r="T30" s="121"/>
    </row>
    <row r="31" spans="1:20" s="242" customFormat="1" ht="21.95" customHeight="1">
      <c r="A31" s="236" t="str">
        <f t="shared" si="0"/>
        <v>o</v>
      </c>
      <c r="B31" s="245">
        <v>153</v>
      </c>
      <c r="C31" s="181" t="s">
        <v>54</v>
      </c>
      <c r="D31" s="253"/>
      <c r="E31" s="253"/>
      <c r="F31" s="247">
        <f t="shared" si="16"/>
        <v>0</v>
      </c>
      <c r="G31" s="247">
        <f t="shared" si="17"/>
        <v>0</v>
      </c>
      <c r="H31" s="247">
        <f t="shared" si="18"/>
        <v>0</v>
      </c>
      <c r="I31" s="247">
        <f t="shared" si="19"/>
        <v>0</v>
      </c>
      <c r="J31" s="121"/>
      <c r="K31" s="217"/>
      <c r="L31" s="217"/>
      <c r="M31" s="217"/>
      <c r="N31" s="241"/>
      <c r="O31" s="241"/>
      <c r="P31" s="121"/>
      <c r="Q31" s="121"/>
      <c r="R31" s="121"/>
      <c r="S31" s="121"/>
      <c r="T31" s="121"/>
    </row>
    <row r="32" spans="1:20" s="242" customFormat="1" ht="21.95" customHeight="1">
      <c r="A32" s="236" t="str">
        <f t="shared" si="0"/>
        <v>o</v>
      </c>
      <c r="B32" s="245">
        <v>154</v>
      </c>
      <c r="C32" s="181" t="s">
        <v>262</v>
      </c>
      <c r="D32" s="253"/>
      <c r="E32" s="253"/>
      <c r="F32" s="247">
        <f t="shared" si="16"/>
        <v>0</v>
      </c>
      <c r="G32" s="247">
        <f t="shared" si="17"/>
        <v>0</v>
      </c>
      <c r="H32" s="247">
        <f t="shared" si="18"/>
        <v>0</v>
      </c>
      <c r="I32" s="247">
        <f t="shared" si="19"/>
        <v>0</v>
      </c>
      <c r="J32" s="121"/>
      <c r="K32" s="254"/>
      <c r="L32" s="217"/>
      <c r="M32" s="217"/>
      <c r="N32" s="241"/>
      <c r="O32" s="241"/>
      <c r="P32" s="121"/>
      <c r="Q32" s="121"/>
      <c r="R32" s="121"/>
      <c r="S32" s="121"/>
      <c r="T32" s="121"/>
    </row>
    <row r="33" spans="1:20" s="242" customFormat="1" ht="21.95" customHeight="1">
      <c r="A33" s="236" t="str">
        <f t="shared" si="0"/>
        <v>1</v>
      </c>
      <c r="B33" s="245">
        <v>156</v>
      </c>
      <c r="C33" s="181" t="s">
        <v>55</v>
      </c>
      <c r="D33" s="255">
        <f t="shared" ref="D33:I33" si="23">SUBTOTAL(9,D34:D36)</f>
        <v>2300000000</v>
      </c>
      <c r="E33" s="255">
        <f t="shared" si="23"/>
        <v>0</v>
      </c>
      <c r="F33" s="320">
        <f t="shared" si="23"/>
        <v>0</v>
      </c>
      <c r="G33" s="320">
        <f t="shared" si="23"/>
        <v>0</v>
      </c>
      <c r="H33" s="320">
        <f t="shared" si="23"/>
        <v>2300000000</v>
      </c>
      <c r="I33" s="320">
        <f t="shared" si="23"/>
        <v>0</v>
      </c>
      <c r="J33" s="217"/>
      <c r="K33" s="217"/>
      <c r="L33" s="217"/>
      <c r="M33" s="217"/>
      <c r="N33" s="241"/>
      <c r="O33" s="241"/>
      <c r="P33" s="121"/>
      <c r="Q33" s="121"/>
      <c r="R33" s="121"/>
      <c r="S33" s="121"/>
      <c r="T33" s="121"/>
    </row>
    <row r="34" spans="1:20" s="242" customFormat="1" ht="21.95" customHeight="1">
      <c r="A34" s="236" t="str">
        <f t="shared" si="0"/>
        <v>1</v>
      </c>
      <c r="B34" s="321">
        <v>156001</v>
      </c>
      <c r="C34" s="184" t="s">
        <v>426</v>
      </c>
      <c r="D34" s="243">
        <f>Kho!D4</f>
        <v>1500000000</v>
      </c>
      <c r="E34" s="243">
        <v>0</v>
      </c>
      <c r="F34" s="244">
        <f t="shared" ref="F34:F36" si="24">SUMIF(nhatky_tkno,B34,nhatky_sotien)</f>
        <v>0</v>
      </c>
      <c r="G34" s="244">
        <f t="shared" ref="G34:G36" si="25">SUMIF(nhatky_tkco,B34,nhatky_sotien)</f>
        <v>0</v>
      </c>
      <c r="H34" s="244">
        <f t="shared" ref="H34:H36" si="26">MAX(D34+F34-E34-G34,0)</f>
        <v>1500000000</v>
      </c>
      <c r="I34" s="244">
        <f t="shared" ref="I34:I36" si="27">MAX(E34+G34-D34-F34,0)</f>
        <v>0</v>
      </c>
      <c r="J34" s="217"/>
      <c r="K34" s="217"/>
      <c r="L34" s="217"/>
      <c r="M34" s="217"/>
      <c r="N34" s="241"/>
      <c r="O34" s="241"/>
      <c r="P34" s="121"/>
      <c r="Q34" s="121"/>
      <c r="R34" s="121"/>
      <c r="S34" s="121"/>
      <c r="T34" s="121"/>
    </row>
    <row r="35" spans="1:20" s="242" customFormat="1" ht="21.95" customHeight="1">
      <c r="A35" s="236" t="str">
        <f t="shared" si="0"/>
        <v>1</v>
      </c>
      <c r="B35" s="321">
        <v>156002</v>
      </c>
      <c r="C35" s="184" t="s">
        <v>425</v>
      </c>
      <c r="D35" s="243">
        <f>Kho!D5</f>
        <v>800000000</v>
      </c>
      <c r="E35" s="243">
        <v>0</v>
      </c>
      <c r="F35" s="244">
        <f t="shared" si="24"/>
        <v>0</v>
      </c>
      <c r="G35" s="244">
        <f t="shared" si="25"/>
        <v>0</v>
      </c>
      <c r="H35" s="244">
        <f t="shared" si="26"/>
        <v>800000000</v>
      </c>
      <c r="I35" s="244">
        <f t="shared" si="27"/>
        <v>0</v>
      </c>
      <c r="J35" s="217"/>
      <c r="K35" s="217"/>
      <c r="L35" s="217"/>
      <c r="M35" s="217"/>
      <c r="N35" s="241"/>
      <c r="O35" s="241"/>
      <c r="P35" s="121"/>
      <c r="Q35" s="121"/>
      <c r="R35" s="121"/>
      <c r="S35" s="121"/>
      <c r="T35" s="121"/>
    </row>
    <row r="36" spans="1:20" s="242" customFormat="1" ht="21.95" customHeight="1">
      <c r="A36" s="236" t="str">
        <f t="shared" si="0"/>
        <v>o</v>
      </c>
      <c r="B36" s="321">
        <v>156003</v>
      </c>
      <c r="C36" s="184" t="s">
        <v>399</v>
      </c>
      <c r="D36" s="243"/>
      <c r="E36" s="243">
        <v>0</v>
      </c>
      <c r="F36" s="244">
        <f t="shared" si="24"/>
        <v>0</v>
      </c>
      <c r="G36" s="244">
        <f t="shared" si="25"/>
        <v>0</v>
      </c>
      <c r="H36" s="244">
        <f t="shared" si="26"/>
        <v>0</v>
      </c>
      <c r="I36" s="244">
        <f t="shared" si="27"/>
        <v>0</v>
      </c>
      <c r="J36" s="217"/>
      <c r="K36" s="217"/>
      <c r="L36" s="217"/>
      <c r="M36" s="217"/>
      <c r="N36" s="241"/>
      <c r="O36" s="241"/>
      <c r="P36" s="121"/>
      <c r="Q36" s="121"/>
      <c r="R36" s="121"/>
      <c r="S36" s="121"/>
      <c r="T36" s="121"/>
    </row>
    <row r="37" spans="1:20" s="242" customFormat="1" ht="21.95" customHeight="1">
      <c r="A37" s="236" t="str">
        <f t="shared" si="0"/>
        <v>1</v>
      </c>
      <c r="B37" s="245" t="s">
        <v>57</v>
      </c>
      <c r="C37" s="245" t="s">
        <v>58</v>
      </c>
      <c r="D37" s="255">
        <f t="shared" ref="D37:I37" si="28">SUBTOTAL(9,D38:D41)</f>
        <v>11370000000</v>
      </c>
      <c r="E37" s="255">
        <f t="shared" si="28"/>
        <v>0</v>
      </c>
      <c r="F37" s="247">
        <f t="shared" si="28"/>
        <v>0</v>
      </c>
      <c r="G37" s="247">
        <f t="shared" si="28"/>
        <v>0</v>
      </c>
      <c r="H37" s="247">
        <f t="shared" si="28"/>
        <v>11370000000</v>
      </c>
      <c r="I37" s="247">
        <f t="shared" si="28"/>
        <v>0</v>
      </c>
      <c r="J37" s="217"/>
      <c r="K37" s="241"/>
      <c r="L37" s="217"/>
      <c r="M37" s="217"/>
      <c r="N37" s="241"/>
      <c r="O37" s="241"/>
      <c r="P37" s="121"/>
      <c r="Q37" s="121"/>
      <c r="R37" s="121"/>
      <c r="S37" s="121"/>
      <c r="T37" s="121"/>
    </row>
    <row r="38" spans="1:20" s="242" customFormat="1" ht="21.95" customHeight="1">
      <c r="A38" s="236" t="str">
        <f t="shared" si="0"/>
        <v>1</v>
      </c>
      <c r="B38" s="179">
        <v>2111</v>
      </c>
      <c r="C38" s="179" t="s">
        <v>239</v>
      </c>
      <c r="D38" s="243">
        <v>2500000000</v>
      </c>
      <c r="E38" s="243">
        <v>0</v>
      </c>
      <c r="F38" s="244">
        <f>SUMIF(nhatky_tkno,B38,nhatky_sotien)</f>
        <v>0</v>
      </c>
      <c r="G38" s="244">
        <f>SUMIF(nhatky_tkco,B38,nhatky_sotien)</f>
        <v>0</v>
      </c>
      <c r="H38" s="244">
        <f>MAX(D38+F38-E38-G38,0)</f>
        <v>2500000000</v>
      </c>
      <c r="I38" s="244">
        <f>MAX(E38+G38-D38-F38,0)</f>
        <v>0</v>
      </c>
      <c r="J38" s="217"/>
      <c r="K38" s="121"/>
      <c r="L38" s="217"/>
      <c r="M38" s="217"/>
      <c r="N38" s="241"/>
      <c r="O38" s="241"/>
      <c r="P38" s="121"/>
      <c r="Q38" s="121"/>
      <c r="R38" s="121"/>
      <c r="S38" s="121"/>
      <c r="T38" s="121"/>
    </row>
    <row r="39" spans="1:20" s="242" customFormat="1" ht="21.95" customHeight="1">
      <c r="A39" s="236" t="str">
        <f t="shared" si="0"/>
        <v>1</v>
      </c>
      <c r="B39" s="179">
        <v>2112</v>
      </c>
      <c r="C39" s="179" t="s">
        <v>240</v>
      </c>
      <c r="D39" s="243">
        <v>6270000000</v>
      </c>
      <c r="E39" s="243"/>
      <c r="F39" s="244">
        <f>SUMIF(nhatky_tkno,B39,nhatky_sotien)</f>
        <v>0</v>
      </c>
      <c r="G39" s="244">
        <f>SUMIF(nhatky_tkco,B39,nhatky_sotien)</f>
        <v>0</v>
      </c>
      <c r="H39" s="244">
        <f>MAX(D39+F39-E39-G39,0)</f>
        <v>6270000000</v>
      </c>
      <c r="I39" s="244">
        <f>MAX(E39+G39-D39-F39,0)</f>
        <v>0</v>
      </c>
      <c r="J39" s="217"/>
      <c r="K39" s="121"/>
      <c r="L39" s="217"/>
      <c r="M39" s="217"/>
      <c r="N39" s="241"/>
      <c r="O39" s="241"/>
      <c r="P39" s="121"/>
      <c r="Q39" s="121"/>
      <c r="R39" s="121"/>
      <c r="S39" s="121"/>
      <c r="T39" s="121"/>
    </row>
    <row r="40" spans="1:20" s="242" customFormat="1" ht="21.95" customHeight="1">
      <c r="A40" s="236" t="str">
        <f t="shared" si="0"/>
        <v>1</v>
      </c>
      <c r="B40" s="179">
        <v>2113</v>
      </c>
      <c r="C40" s="179" t="s">
        <v>241</v>
      </c>
      <c r="D40" s="243">
        <v>2600000000</v>
      </c>
      <c r="E40" s="243">
        <v>0</v>
      </c>
      <c r="F40" s="244">
        <f>SUMIF(nhatky_tkno,B40,nhatky_sotien)</f>
        <v>0</v>
      </c>
      <c r="G40" s="244">
        <f>SUMIF(nhatky_tkco,B40,nhatky_sotien)</f>
        <v>0</v>
      </c>
      <c r="H40" s="244">
        <f>MAX(D40+F40-E40-G40,0)</f>
        <v>2600000000</v>
      </c>
      <c r="I40" s="244">
        <f>MAX(E40+G40-D40-F40,0)</f>
        <v>0</v>
      </c>
      <c r="J40" s="217"/>
      <c r="K40" s="121"/>
      <c r="L40" s="217"/>
      <c r="M40" s="217"/>
      <c r="N40" s="241"/>
      <c r="O40" s="241"/>
      <c r="P40" s="121"/>
      <c r="Q40" s="121"/>
      <c r="R40" s="121"/>
      <c r="S40" s="121"/>
      <c r="T40" s="121"/>
    </row>
    <row r="41" spans="1:20" s="242" customFormat="1" ht="21.95" customHeight="1">
      <c r="A41" s="236" t="str">
        <f t="shared" si="0"/>
        <v>o</v>
      </c>
      <c r="B41" s="179">
        <v>2114</v>
      </c>
      <c r="C41" s="179" t="s">
        <v>242</v>
      </c>
      <c r="D41" s="243"/>
      <c r="E41" s="243">
        <v>0</v>
      </c>
      <c r="F41" s="244">
        <f>SUMIF(nhatky_tkno,B41,nhatky_sotien)</f>
        <v>0</v>
      </c>
      <c r="G41" s="244">
        <f>SUMIF(nhatky_tkco,B41,nhatky_sotien)</f>
        <v>0</v>
      </c>
      <c r="H41" s="244">
        <f>MAX(D41+F41-E41-G41,0)</f>
        <v>0</v>
      </c>
      <c r="I41" s="244">
        <f>MAX(E41+G41-D41-F41,0)</f>
        <v>0</v>
      </c>
      <c r="J41" s="217"/>
      <c r="K41" s="121"/>
      <c r="L41" s="217"/>
      <c r="M41" s="217"/>
      <c r="N41" s="241"/>
      <c r="O41" s="241"/>
      <c r="P41" s="121"/>
      <c r="Q41" s="121"/>
      <c r="R41" s="121"/>
      <c r="S41" s="121"/>
      <c r="T41" s="121"/>
    </row>
    <row r="42" spans="1:20" s="242" customFormat="1" ht="21.95" customHeight="1">
      <c r="A42" s="236" t="str">
        <f t="shared" si="0"/>
        <v>1</v>
      </c>
      <c r="B42" s="245" t="s">
        <v>59</v>
      </c>
      <c r="C42" s="181" t="s">
        <v>60</v>
      </c>
      <c r="D42" s="246">
        <f t="shared" ref="D42:I42" si="29">SUBTOTAL(9,D43:D47)</f>
        <v>0</v>
      </c>
      <c r="E42" s="246">
        <f t="shared" si="29"/>
        <v>4450000000</v>
      </c>
      <c r="F42" s="247">
        <f t="shared" si="29"/>
        <v>0</v>
      </c>
      <c r="G42" s="247">
        <f t="shared" si="29"/>
        <v>0</v>
      </c>
      <c r="H42" s="247">
        <f t="shared" si="29"/>
        <v>0</v>
      </c>
      <c r="I42" s="247">
        <f t="shared" si="29"/>
        <v>4450000000</v>
      </c>
      <c r="J42" s="217"/>
      <c r="K42" s="121"/>
      <c r="L42" s="217"/>
      <c r="M42" s="217"/>
      <c r="N42" s="241"/>
      <c r="O42" s="241"/>
      <c r="P42" s="121"/>
      <c r="Q42" s="121"/>
      <c r="R42" s="121"/>
      <c r="S42" s="121"/>
      <c r="T42" s="121"/>
    </row>
    <row r="43" spans="1:20" s="242" customFormat="1" ht="21.95" customHeight="1">
      <c r="A43" s="236" t="str">
        <f t="shared" si="0"/>
        <v>1</v>
      </c>
      <c r="B43" s="185" t="s">
        <v>61</v>
      </c>
      <c r="C43" s="185" t="s">
        <v>62</v>
      </c>
      <c r="D43" s="248">
        <f t="shared" ref="D43:I43" si="30">SUBTOTAL(9,D44:D47)</f>
        <v>0</v>
      </c>
      <c r="E43" s="248">
        <f t="shared" si="30"/>
        <v>4450000000</v>
      </c>
      <c r="F43" s="190">
        <f t="shared" si="30"/>
        <v>0</v>
      </c>
      <c r="G43" s="190">
        <f t="shared" si="30"/>
        <v>0</v>
      </c>
      <c r="H43" s="190">
        <f t="shared" si="30"/>
        <v>0</v>
      </c>
      <c r="I43" s="190">
        <f t="shared" si="30"/>
        <v>4450000000</v>
      </c>
      <c r="J43" s="217"/>
      <c r="K43" s="121"/>
      <c r="L43" s="217"/>
      <c r="M43" s="217"/>
      <c r="N43" s="241"/>
      <c r="O43" s="241"/>
      <c r="P43" s="121"/>
      <c r="Q43" s="121"/>
      <c r="R43" s="121"/>
      <c r="S43" s="121"/>
      <c r="T43" s="121"/>
    </row>
    <row r="44" spans="1:20" s="242" customFormat="1" ht="21.95" customHeight="1">
      <c r="A44" s="236" t="str">
        <f t="shared" si="0"/>
        <v>1</v>
      </c>
      <c r="B44" s="179">
        <v>21411</v>
      </c>
      <c r="C44" s="179" t="str">
        <f>"HMTSCĐ HH- "&amp;C38</f>
        <v>HMTSCĐ HH- Nhà cửa, vật kiến trúc</v>
      </c>
      <c r="D44" s="243"/>
      <c r="E44" s="243">
        <v>1900000000</v>
      </c>
      <c r="F44" s="244">
        <f>SUMIF(nhatky_tkno,B44,nhatky_sotien)</f>
        <v>0</v>
      </c>
      <c r="G44" s="244">
        <f>SUMIF(nhatky_tkco,B44,nhatky_sotien)</f>
        <v>0</v>
      </c>
      <c r="H44" s="244">
        <f>MAX(D44+F44-E44-G44,0)</f>
        <v>0</v>
      </c>
      <c r="I44" s="244">
        <f>MAX(E44+G44-D44-F44,0)</f>
        <v>1900000000</v>
      </c>
      <c r="J44" s="217"/>
      <c r="K44" s="121"/>
      <c r="L44" s="217"/>
      <c r="M44" s="217"/>
      <c r="N44" s="241"/>
      <c r="O44" s="241"/>
      <c r="P44" s="121"/>
      <c r="Q44" s="121"/>
      <c r="R44" s="121"/>
      <c r="S44" s="121"/>
      <c r="T44" s="121"/>
    </row>
    <row r="45" spans="1:20" s="242" customFormat="1" ht="21.95" customHeight="1">
      <c r="A45" s="236" t="str">
        <f t="shared" si="0"/>
        <v>1</v>
      </c>
      <c r="B45" s="179">
        <v>21412</v>
      </c>
      <c r="C45" s="179" t="str">
        <f>"HMTSCĐ HH- "&amp;C39</f>
        <v>HMTSCĐ HH- Máy móc, thiết bị</v>
      </c>
      <c r="D45" s="243"/>
      <c r="E45" s="243">
        <v>800000000</v>
      </c>
      <c r="F45" s="244">
        <f>SUMIF(nhatky_tkno,B45,nhatky_sotien)</f>
        <v>0</v>
      </c>
      <c r="G45" s="244">
        <f>SUMIF(nhatky_tkco,B45,nhatky_sotien)</f>
        <v>0</v>
      </c>
      <c r="H45" s="244">
        <f>MAX(D45+F45-E45-G45,0)</f>
        <v>0</v>
      </c>
      <c r="I45" s="244">
        <f>MAX(E45+G45-D45-F45,0)</f>
        <v>800000000</v>
      </c>
      <c r="J45" s="217"/>
      <c r="K45" s="121"/>
      <c r="L45" s="217"/>
      <c r="M45" s="217"/>
      <c r="N45" s="241"/>
      <c r="O45" s="241"/>
      <c r="P45" s="121"/>
      <c r="Q45" s="121"/>
      <c r="R45" s="121"/>
      <c r="S45" s="121"/>
      <c r="T45" s="121"/>
    </row>
    <row r="46" spans="1:20" s="242" customFormat="1" ht="21.95" customHeight="1">
      <c r="A46" s="236" t="str">
        <f t="shared" si="0"/>
        <v>1</v>
      </c>
      <c r="B46" s="179">
        <v>21413</v>
      </c>
      <c r="C46" s="179" t="str">
        <f>"HMTSCĐ HH- "&amp;C40</f>
        <v>HMTSCĐ HH- Phương tiện vận tải, truyền dẫn</v>
      </c>
      <c r="D46" s="243"/>
      <c r="E46" s="243">
        <v>1750000000</v>
      </c>
      <c r="F46" s="244">
        <f>SUMIF(nhatky_tkno,B46,nhatky_sotien)</f>
        <v>0</v>
      </c>
      <c r="G46" s="244">
        <f>SUMIF(nhatky_tkco,B46,nhatky_sotien)</f>
        <v>0</v>
      </c>
      <c r="H46" s="244">
        <f>MAX(D46+F46-E46-G46,0)</f>
        <v>0</v>
      </c>
      <c r="I46" s="244">
        <f>MAX(E46+G46-D46-F46,0)</f>
        <v>1750000000</v>
      </c>
      <c r="J46" s="217"/>
      <c r="K46" s="121"/>
      <c r="L46" s="217"/>
      <c r="M46" s="217"/>
      <c r="N46" s="241"/>
      <c r="O46" s="241"/>
      <c r="P46" s="121"/>
      <c r="Q46" s="121"/>
      <c r="R46" s="121"/>
      <c r="S46" s="121"/>
      <c r="T46" s="121"/>
    </row>
    <row r="47" spans="1:20" s="242" customFormat="1" ht="21.95" customHeight="1">
      <c r="A47" s="236" t="str">
        <f t="shared" si="0"/>
        <v>o</v>
      </c>
      <c r="B47" s="179">
        <v>21414</v>
      </c>
      <c r="C47" s="179" t="str">
        <f>"HMTSCĐ HH- "&amp;C41</f>
        <v>HMTSCĐ HH- Thiết bị, dụng cụ quản lý</v>
      </c>
      <c r="D47" s="243"/>
      <c r="E47" s="243"/>
      <c r="F47" s="244">
        <f>SUMIF(nhatky_tkno,B47,nhatky_sotien)</f>
        <v>0</v>
      </c>
      <c r="G47" s="244">
        <f>SUMIF(nhatky_tkco,B47,nhatky_sotien)</f>
        <v>0</v>
      </c>
      <c r="H47" s="244">
        <f>MAX(D47+F47-E47-G47,0)</f>
        <v>0</v>
      </c>
      <c r="I47" s="244">
        <f>MAX(E47+G47-D47-F47,0)</f>
        <v>0</v>
      </c>
      <c r="J47" s="217"/>
      <c r="K47" s="121"/>
      <c r="L47" s="217"/>
      <c r="M47" s="217"/>
      <c r="N47" s="241"/>
      <c r="O47" s="241"/>
      <c r="P47" s="121"/>
      <c r="Q47" s="121"/>
      <c r="R47" s="121"/>
      <c r="S47" s="121"/>
      <c r="T47" s="121"/>
    </row>
    <row r="48" spans="1:20" s="242" customFormat="1" ht="21.95" hidden="1" customHeight="1">
      <c r="A48" s="236" t="str">
        <f t="shared" si="0"/>
        <v>o</v>
      </c>
      <c r="B48" s="245" t="s">
        <v>63</v>
      </c>
      <c r="C48" s="181" t="s">
        <v>64</v>
      </c>
      <c r="D48" s="256">
        <f t="shared" ref="D48:I48" si="31">SUBTOTAL(9,D49:D50)</f>
        <v>0</v>
      </c>
      <c r="E48" s="256">
        <f t="shared" si="31"/>
        <v>0</v>
      </c>
      <c r="F48" s="257">
        <f t="shared" si="31"/>
        <v>0</v>
      </c>
      <c r="G48" s="257">
        <f t="shared" si="31"/>
        <v>0</v>
      </c>
      <c r="H48" s="257">
        <f t="shared" si="31"/>
        <v>0</v>
      </c>
      <c r="I48" s="257">
        <f t="shared" si="31"/>
        <v>0</v>
      </c>
      <c r="J48" s="217"/>
      <c r="K48" s="121"/>
      <c r="L48" s="217"/>
      <c r="M48" s="217"/>
      <c r="N48" s="241"/>
      <c r="O48" s="241"/>
      <c r="P48" s="121"/>
      <c r="Q48" s="121"/>
      <c r="R48" s="121"/>
      <c r="S48" s="121"/>
      <c r="T48" s="121"/>
    </row>
    <row r="49" spans="1:20" s="242" customFormat="1" ht="21.95" hidden="1" customHeight="1">
      <c r="A49" s="236" t="str">
        <f t="shared" si="0"/>
        <v>o</v>
      </c>
      <c r="B49" s="179" t="s">
        <v>56</v>
      </c>
      <c r="C49" s="179" t="s">
        <v>65</v>
      </c>
      <c r="D49" s="258"/>
      <c r="E49" s="258"/>
      <c r="F49" s="244">
        <f>SUMIF(nhatky_tkno,B49,nhatky_sotien)</f>
        <v>0</v>
      </c>
      <c r="G49" s="244">
        <f>SUMIF(nhatky_tkco,B49,nhatky_sotien)</f>
        <v>0</v>
      </c>
      <c r="H49" s="244">
        <f>MAX(D49+F49-E49-G49,0)</f>
        <v>0</v>
      </c>
      <c r="I49" s="244">
        <f>MAX(E49+G49-D49-F49,0)</f>
        <v>0</v>
      </c>
      <c r="J49" s="217"/>
      <c r="K49" s="121"/>
      <c r="L49" s="217"/>
      <c r="M49" s="217"/>
      <c r="N49" s="241"/>
      <c r="O49" s="241"/>
      <c r="P49" s="121"/>
      <c r="Q49" s="121"/>
      <c r="R49" s="121"/>
      <c r="S49" s="121"/>
      <c r="T49" s="121"/>
    </row>
    <row r="50" spans="1:20" s="242" customFormat="1" ht="21.95" hidden="1" customHeight="1">
      <c r="A50" s="236" t="str">
        <f t="shared" si="0"/>
        <v>o</v>
      </c>
      <c r="B50" s="179" t="s">
        <v>66</v>
      </c>
      <c r="C50" s="179" t="s">
        <v>64</v>
      </c>
      <c r="D50" s="258"/>
      <c r="E50" s="258"/>
      <c r="F50" s="244">
        <f>SUMIF(nhatky_tkno,B50,nhatky_sotien)</f>
        <v>0</v>
      </c>
      <c r="G50" s="244">
        <f>SUMIF(nhatky_tkco,B50,nhatky_sotien)</f>
        <v>0</v>
      </c>
      <c r="H50" s="244">
        <f>MAX(D50+F50-E50-G50,0)</f>
        <v>0</v>
      </c>
      <c r="I50" s="244">
        <f>MAX(E50+G50-D50-F50,0)</f>
        <v>0</v>
      </c>
      <c r="J50" s="217"/>
      <c r="K50" s="121"/>
      <c r="L50" s="217"/>
      <c r="M50" s="217"/>
      <c r="N50" s="241"/>
      <c r="O50" s="241"/>
      <c r="P50" s="121"/>
      <c r="Q50" s="121"/>
      <c r="R50" s="121"/>
      <c r="S50" s="121"/>
      <c r="T50" s="121"/>
    </row>
    <row r="51" spans="1:20" s="242" customFormat="1" ht="21.95" hidden="1" customHeight="1">
      <c r="A51" s="236" t="str">
        <f t="shared" si="0"/>
        <v>o</v>
      </c>
      <c r="B51" s="245" t="s">
        <v>67</v>
      </c>
      <c r="C51" s="181" t="s">
        <v>311</v>
      </c>
      <c r="D51" s="249">
        <f>SUBTOTAL(9,D52:D53)</f>
        <v>0</v>
      </c>
      <c r="E51" s="249">
        <f t="shared" ref="E51:I51" si="32">SUBTOTAL(9,E52:E53)</f>
        <v>0</v>
      </c>
      <c r="F51" s="250">
        <f t="shared" si="32"/>
        <v>0</v>
      </c>
      <c r="G51" s="250">
        <f t="shared" si="32"/>
        <v>0</v>
      </c>
      <c r="H51" s="250">
        <f t="shared" si="32"/>
        <v>0</v>
      </c>
      <c r="I51" s="250">
        <f t="shared" si="32"/>
        <v>0</v>
      </c>
      <c r="J51" s="217"/>
      <c r="K51" s="121"/>
      <c r="L51" s="217"/>
      <c r="M51" s="217"/>
      <c r="N51" s="241"/>
      <c r="O51" s="241"/>
      <c r="P51" s="121"/>
      <c r="Q51" s="121"/>
      <c r="R51" s="121"/>
      <c r="S51" s="121"/>
      <c r="T51" s="121"/>
    </row>
    <row r="52" spans="1:20" s="242" customFormat="1" ht="21.95" hidden="1" customHeight="1">
      <c r="A52" s="236" t="str">
        <f t="shared" si="0"/>
        <v>o</v>
      </c>
      <c r="B52" s="179" t="s">
        <v>237</v>
      </c>
      <c r="C52" s="179" t="s">
        <v>382</v>
      </c>
      <c r="D52" s="243"/>
      <c r="E52" s="243"/>
      <c r="F52" s="244">
        <f>SUMIF(nhatky_tkno,B52,nhatky_sotien)</f>
        <v>0</v>
      </c>
      <c r="G52" s="244">
        <f>SUMIF(nhatky_tkco,B52,nhatky_sotien)</f>
        <v>0</v>
      </c>
      <c r="H52" s="244">
        <f>MAX(D52+F52-E52-G52,0)</f>
        <v>0</v>
      </c>
      <c r="I52" s="244">
        <f>MAX(E52+G52-D52-F52,0)</f>
        <v>0</v>
      </c>
      <c r="J52" s="217"/>
      <c r="K52" s="121"/>
      <c r="L52" s="217"/>
      <c r="M52" s="217"/>
      <c r="N52" s="241"/>
      <c r="O52" s="241"/>
      <c r="P52" s="121"/>
      <c r="Q52" s="121"/>
      <c r="R52" s="121"/>
      <c r="S52" s="121"/>
      <c r="T52" s="121"/>
    </row>
    <row r="53" spans="1:20" s="242" customFormat="1" ht="21.95" hidden="1" customHeight="1">
      <c r="A53" s="236" t="str">
        <f>IF(SUM(D53:I53)&lt;&gt;0,"1","o")</f>
        <v>o</v>
      </c>
      <c r="B53" s="179" t="s">
        <v>238</v>
      </c>
      <c r="C53" s="179" t="s">
        <v>383</v>
      </c>
      <c r="D53" s="243"/>
      <c r="E53" s="243"/>
      <c r="F53" s="244">
        <f>SUMIF(nhatky_tkno,B53,nhatky_sotien)</f>
        <v>0</v>
      </c>
      <c r="G53" s="244">
        <f>SUMIF(nhatky_tkco,B53,nhatky_sotien)</f>
        <v>0</v>
      </c>
      <c r="H53" s="244">
        <f>MAX(D53+F53-E53-G53,0)</f>
        <v>0</v>
      </c>
      <c r="I53" s="244">
        <f>MAX(E53+G53-D53-F53,0)</f>
        <v>0</v>
      </c>
      <c r="J53" s="217"/>
      <c r="K53" s="241"/>
      <c r="L53" s="217"/>
      <c r="M53" s="217"/>
      <c r="N53" s="241"/>
      <c r="O53" s="241"/>
      <c r="P53" s="121"/>
      <c r="Q53" s="121"/>
      <c r="R53" s="121"/>
      <c r="S53" s="121"/>
      <c r="T53" s="121"/>
    </row>
    <row r="54" spans="1:20" s="242" customFormat="1" ht="21.95" hidden="1" customHeight="1">
      <c r="A54" s="236" t="str">
        <f t="shared" si="0"/>
        <v>o</v>
      </c>
      <c r="B54" s="245">
        <v>243</v>
      </c>
      <c r="C54" s="181" t="s">
        <v>243</v>
      </c>
      <c r="D54" s="255"/>
      <c r="E54" s="255"/>
      <c r="F54" s="247">
        <f>SUMIF(nhatky_tkno,B54,nhatky_sotien)</f>
        <v>0</v>
      </c>
      <c r="G54" s="247">
        <f>SUMIF(nhatky_tkco,B54,nhatky_sotien)</f>
        <v>0</v>
      </c>
      <c r="H54" s="247">
        <f>MAX(D54+F54-E54-G54,0)</f>
        <v>0</v>
      </c>
      <c r="I54" s="247">
        <f>MAX(E54+G54-D54-F54,0)</f>
        <v>0</v>
      </c>
      <c r="J54" s="217"/>
      <c r="K54" s="121"/>
      <c r="L54" s="217"/>
      <c r="M54" s="217"/>
      <c r="N54" s="241"/>
      <c r="O54" s="241"/>
      <c r="P54" s="121"/>
      <c r="Q54" s="121"/>
      <c r="R54" s="121"/>
      <c r="S54" s="121"/>
      <c r="T54" s="121"/>
    </row>
    <row r="55" spans="1:20" s="242" customFormat="1" ht="21.95" hidden="1" customHeight="1">
      <c r="A55" s="236" t="str">
        <f t="shared" si="0"/>
        <v>o</v>
      </c>
      <c r="B55" s="245">
        <v>244</v>
      </c>
      <c r="C55" s="181" t="s">
        <v>360</v>
      </c>
      <c r="D55" s="249">
        <f t="shared" ref="D55:I55" si="33">SUBTOTAL(9,D56:D57)</f>
        <v>0</v>
      </c>
      <c r="E55" s="249">
        <f t="shared" si="33"/>
        <v>0</v>
      </c>
      <c r="F55" s="257">
        <f t="shared" si="33"/>
        <v>0</v>
      </c>
      <c r="G55" s="257">
        <f t="shared" si="33"/>
        <v>0</v>
      </c>
      <c r="H55" s="257">
        <f t="shared" si="33"/>
        <v>0</v>
      </c>
      <c r="I55" s="257">
        <f t="shared" si="33"/>
        <v>0</v>
      </c>
      <c r="J55" s="217"/>
      <c r="K55" s="121"/>
      <c r="L55" s="217"/>
      <c r="M55" s="217"/>
      <c r="N55" s="241"/>
      <c r="O55" s="241"/>
      <c r="P55" s="121"/>
      <c r="Q55" s="121"/>
      <c r="R55" s="121"/>
      <c r="S55" s="121"/>
      <c r="T55" s="121"/>
    </row>
    <row r="56" spans="1:20" s="242" customFormat="1" ht="21.95" hidden="1" customHeight="1">
      <c r="A56" s="236" t="str">
        <f t="shared" si="0"/>
        <v>o</v>
      </c>
      <c r="B56" s="179" t="s">
        <v>366</v>
      </c>
      <c r="C56" s="179" t="s">
        <v>381</v>
      </c>
      <c r="D56" s="258"/>
      <c r="E56" s="258"/>
      <c r="F56" s="244">
        <f>SUMIF(nhatky_tkno,B56,nhatky_sotien)</f>
        <v>0</v>
      </c>
      <c r="G56" s="244">
        <f>SUMIF(nhatky_tkco,B56,nhatky_sotien)</f>
        <v>0</v>
      </c>
      <c r="H56" s="244">
        <f>MAX(D56+F56-E56-G56,0)</f>
        <v>0</v>
      </c>
      <c r="I56" s="244">
        <f>MAX(E56+G56-D56-F56,0)</f>
        <v>0</v>
      </c>
      <c r="J56" s="217"/>
      <c r="K56" s="121"/>
      <c r="L56" s="217"/>
      <c r="M56" s="217"/>
      <c r="N56" s="241"/>
      <c r="O56" s="241"/>
      <c r="P56" s="121"/>
      <c r="Q56" s="121"/>
      <c r="R56" s="121"/>
      <c r="S56" s="121"/>
      <c r="T56" s="121"/>
    </row>
    <row r="57" spans="1:20" s="242" customFormat="1" ht="21.95" hidden="1" customHeight="1">
      <c r="A57" s="236" t="str">
        <f t="shared" si="0"/>
        <v>o</v>
      </c>
      <c r="B57" s="179" t="s">
        <v>366</v>
      </c>
      <c r="C57" s="179" t="s">
        <v>381</v>
      </c>
      <c r="D57" s="258"/>
      <c r="E57" s="258"/>
      <c r="F57" s="244">
        <f>SUMIF(nhatky_tkno,B57,nhatky_sotien)</f>
        <v>0</v>
      </c>
      <c r="G57" s="244">
        <f>SUMIF(nhatky_tkco,B57,nhatky_sotien)</f>
        <v>0</v>
      </c>
      <c r="H57" s="244">
        <f>MAX(D57+F57-E57-G57,0)</f>
        <v>0</v>
      </c>
      <c r="I57" s="244">
        <f>MAX(E57+G57-D57-F57,0)</f>
        <v>0</v>
      </c>
      <c r="J57" s="217"/>
      <c r="K57" s="121"/>
      <c r="L57" s="217"/>
      <c r="M57" s="217"/>
      <c r="N57" s="241"/>
      <c r="O57" s="241"/>
      <c r="P57" s="121"/>
      <c r="Q57" s="121"/>
      <c r="R57" s="121"/>
      <c r="S57" s="121"/>
      <c r="T57" s="121"/>
    </row>
    <row r="58" spans="1:20" ht="21.95" customHeight="1">
      <c r="A58" s="236" t="str">
        <f t="shared" si="0"/>
        <v>1</v>
      </c>
      <c r="B58" s="245" t="s">
        <v>19</v>
      </c>
      <c r="C58" s="181" t="s">
        <v>312</v>
      </c>
      <c r="D58" s="249">
        <f t="shared" ref="D58:I58" si="34">SUBTOTAL(9,D59:D62)</f>
        <v>0</v>
      </c>
      <c r="E58" s="249">
        <f t="shared" si="34"/>
        <v>4240000000</v>
      </c>
      <c r="F58" s="250">
        <f t="shared" si="34"/>
        <v>0</v>
      </c>
      <c r="G58" s="250">
        <f t="shared" si="34"/>
        <v>0</v>
      </c>
      <c r="H58" s="250">
        <f t="shared" si="34"/>
        <v>0</v>
      </c>
      <c r="I58" s="250">
        <f t="shared" si="34"/>
        <v>4240000000</v>
      </c>
      <c r="L58" s="127"/>
      <c r="M58" s="127"/>
      <c r="N58" s="241"/>
      <c r="O58" s="241"/>
    </row>
    <row r="59" spans="1:20" ht="21.95" customHeight="1">
      <c r="A59" s="236" t="str">
        <f t="shared" si="0"/>
        <v>1</v>
      </c>
      <c r="B59" s="179" t="s">
        <v>8</v>
      </c>
      <c r="C59" s="259" t="s">
        <v>514</v>
      </c>
      <c r="D59" s="243"/>
      <c r="E59" s="243">
        <v>4000000000</v>
      </c>
      <c r="F59" s="244">
        <f t="shared" ref="F59:F62" si="35">SUMIF(nhatky_tkno,B59,nhatky_sotien)</f>
        <v>0</v>
      </c>
      <c r="G59" s="244">
        <f t="shared" ref="G59:G62" si="36">SUMIF(nhatky_tkco,B59,nhatky_sotien)</f>
        <v>0</v>
      </c>
      <c r="H59" s="244">
        <f t="shared" ref="H59:H62" si="37">MAX(D59+F59-E59-G59,0)</f>
        <v>0</v>
      </c>
      <c r="I59" s="244">
        <f t="shared" ref="I59:I62" si="38">MAX(E59+G59-D59-F59,0)</f>
        <v>4000000000</v>
      </c>
      <c r="L59" s="127"/>
      <c r="M59" s="127"/>
      <c r="N59" s="241"/>
      <c r="O59" s="241"/>
    </row>
    <row r="60" spans="1:20" ht="21.95" customHeight="1">
      <c r="A60" s="236" t="str">
        <f t="shared" si="0"/>
        <v>1</v>
      </c>
      <c r="B60" s="179" t="s">
        <v>9</v>
      </c>
      <c r="C60" s="260" t="s">
        <v>448</v>
      </c>
      <c r="D60" s="243"/>
      <c r="E60" s="243">
        <v>240000000</v>
      </c>
      <c r="F60" s="244">
        <f t="shared" si="35"/>
        <v>0</v>
      </c>
      <c r="G60" s="244">
        <f t="shared" si="36"/>
        <v>0</v>
      </c>
      <c r="H60" s="244">
        <f t="shared" si="37"/>
        <v>0</v>
      </c>
      <c r="I60" s="244">
        <f t="shared" si="38"/>
        <v>240000000</v>
      </c>
      <c r="L60" s="127"/>
      <c r="M60" s="127"/>
      <c r="N60" s="241"/>
      <c r="O60" s="241"/>
    </row>
    <row r="61" spans="1:20" ht="21.95" customHeight="1">
      <c r="A61" s="236" t="str">
        <f t="shared" si="0"/>
        <v>o</v>
      </c>
      <c r="B61" s="179" t="s">
        <v>10</v>
      </c>
      <c r="C61" s="260" t="s">
        <v>433</v>
      </c>
      <c r="D61" s="243"/>
      <c r="E61" s="243"/>
      <c r="F61" s="244">
        <f t="shared" si="35"/>
        <v>0</v>
      </c>
      <c r="G61" s="244">
        <f t="shared" si="36"/>
        <v>0</v>
      </c>
      <c r="H61" s="244">
        <f t="shared" si="37"/>
        <v>0</v>
      </c>
      <c r="I61" s="244">
        <f t="shared" si="38"/>
        <v>0</v>
      </c>
      <c r="L61" s="127"/>
      <c r="M61" s="127"/>
      <c r="N61" s="241"/>
      <c r="O61" s="241"/>
    </row>
    <row r="62" spans="1:20" ht="21.95" customHeight="1">
      <c r="A62" s="236" t="str">
        <f t="shared" si="0"/>
        <v>o</v>
      </c>
      <c r="B62" s="179" t="s">
        <v>0</v>
      </c>
      <c r="C62" s="260" t="s">
        <v>530</v>
      </c>
      <c r="D62" s="243"/>
      <c r="E62" s="243"/>
      <c r="F62" s="244">
        <f t="shared" si="35"/>
        <v>0</v>
      </c>
      <c r="G62" s="244">
        <f t="shared" si="36"/>
        <v>0</v>
      </c>
      <c r="H62" s="244">
        <f t="shared" si="37"/>
        <v>0</v>
      </c>
      <c r="I62" s="244">
        <f t="shared" si="38"/>
        <v>0</v>
      </c>
      <c r="L62" s="127"/>
      <c r="M62" s="127"/>
      <c r="N62" s="241"/>
      <c r="O62" s="241"/>
    </row>
    <row r="63" spans="1:20" ht="21.95" customHeight="1">
      <c r="A63" s="236" t="str">
        <f t="shared" ref="A63:A94" si="39">IF(SUM(D63:I63)&lt;&gt;0,"1","o")</f>
        <v>1</v>
      </c>
      <c r="B63" s="245">
        <v>333</v>
      </c>
      <c r="C63" s="245" t="s">
        <v>235</v>
      </c>
      <c r="D63" s="246">
        <f t="shared" ref="D63:I63" si="40">SUBTOTAL(9,D64:D68)</f>
        <v>0</v>
      </c>
      <c r="E63" s="246">
        <f t="shared" si="40"/>
        <v>120000000</v>
      </c>
      <c r="F63" s="247">
        <f t="shared" si="40"/>
        <v>0</v>
      </c>
      <c r="G63" s="247">
        <f t="shared" si="40"/>
        <v>0</v>
      </c>
      <c r="H63" s="247">
        <f t="shared" si="40"/>
        <v>0</v>
      </c>
      <c r="I63" s="247">
        <f t="shared" si="40"/>
        <v>120000000</v>
      </c>
      <c r="L63" s="127"/>
      <c r="M63" s="127"/>
      <c r="N63" s="241"/>
      <c r="O63" s="241"/>
    </row>
    <row r="64" spans="1:20" ht="21.95" customHeight="1">
      <c r="A64" s="236" t="str">
        <f t="shared" si="39"/>
        <v>1</v>
      </c>
      <c r="B64" s="179">
        <v>3331</v>
      </c>
      <c r="C64" s="179" t="s">
        <v>236</v>
      </c>
      <c r="D64" s="248"/>
      <c r="E64" s="261">
        <v>75000000</v>
      </c>
      <c r="F64" s="244">
        <f>SUMIF(nhatky_tkno,B64,nhatky_sotien)</f>
        <v>0</v>
      </c>
      <c r="G64" s="244">
        <f>SUMIF(nhatky_tkco,B64,nhatky_sotien)</f>
        <v>0</v>
      </c>
      <c r="H64" s="244">
        <f>MAX(D64+F64-E64-G64,0)</f>
        <v>0</v>
      </c>
      <c r="I64" s="244">
        <f>MAX(E64+G64-D64-F64,0)</f>
        <v>75000000</v>
      </c>
      <c r="L64" s="127"/>
      <c r="M64" s="127"/>
      <c r="N64" s="241"/>
      <c r="O64" s="241"/>
    </row>
    <row r="65" spans="1:15" ht="21.95" customHeight="1">
      <c r="A65" s="236" t="str">
        <f t="shared" si="39"/>
        <v>1</v>
      </c>
      <c r="B65" s="179">
        <v>3334</v>
      </c>
      <c r="C65" s="179" t="s">
        <v>392</v>
      </c>
      <c r="D65" s="261"/>
      <c r="E65" s="261">
        <v>45000000</v>
      </c>
      <c r="F65" s="244">
        <f>SUMIF(nhatky_tkno,B65,nhatky_sotien)</f>
        <v>0</v>
      </c>
      <c r="G65" s="244">
        <f>SUMIF(nhatky_tkco,B65,nhatky_sotien)</f>
        <v>0</v>
      </c>
      <c r="H65" s="244">
        <f>MAX(D65+F65-E65-G65,0)</f>
        <v>0</v>
      </c>
      <c r="I65" s="244">
        <f>MAX(E65+G65-D65-F65,0)</f>
        <v>45000000</v>
      </c>
      <c r="K65" s="241"/>
      <c r="L65" s="127"/>
      <c r="M65" s="127"/>
      <c r="N65" s="241"/>
      <c r="O65" s="241"/>
    </row>
    <row r="66" spans="1:15" ht="21.95" customHeight="1">
      <c r="A66" s="236" t="str">
        <f t="shared" si="39"/>
        <v>o</v>
      </c>
      <c r="B66" s="179">
        <v>3335</v>
      </c>
      <c r="C66" s="179" t="s">
        <v>379</v>
      </c>
      <c r="D66" s="261"/>
      <c r="E66" s="261"/>
      <c r="F66" s="244">
        <f>SUMIF(nhatky_tkno,B66,nhatky_sotien)</f>
        <v>0</v>
      </c>
      <c r="G66" s="244">
        <f>SUMIF(nhatky_tkco,B66,nhatky_sotien)</f>
        <v>0</v>
      </c>
      <c r="H66" s="244">
        <f>MAX(D66+F66-E66-G66,0)</f>
        <v>0</v>
      </c>
      <c r="I66" s="244">
        <f>MAX(E66+G66-D66-F66,0)</f>
        <v>0</v>
      </c>
      <c r="K66" s="241"/>
      <c r="L66" s="127"/>
      <c r="M66" s="127"/>
      <c r="N66" s="241"/>
      <c r="O66" s="241"/>
    </row>
    <row r="67" spans="1:15" ht="21.95" customHeight="1">
      <c r="A67" s="236" t="str">
        <f t="shared" si="39"/>
        <v>o</v>
      </c>
      <c r="B67" s="179">
        <v>3338</v>
      </c>
      <c r="C67" s="179" t="s">
        <v>313</v>
      </c>
      <c r="D67" s="261"/>
      <c r="E67" s="261"/>
      <c r="F67" s="244">
        <f>SUMIF(nhatky_tkno,B67,nhatky_sotien)</f>
        <v>0</v>
      </c>
      <c r="G67" s="244">
        <f>SUMIF(nhatky_tkco,B67,nhatky_sotien)</f>
        <v>0</v>
      </c>
      <c r="H67" s="244">
        <f>MAX(D67+F67-E67-G67,0)</f>
        <v>0</v>
      </c>
      <c r="I67" s="244">
        <f>MAX(E67+G67-D67-F67,0)</f>
        <v>0</v>
      </c>
      <c r="K67" s="241"/>
      <c r="L67" s="127"/>
      <c r="M67" s="127"/>
      <c r="N67" s="241"/>
      <c r="O67" s="241"/>
    </row>
    <row r="68" spans="1:15" ht="21.95" customHeight="1">
      <c r="A68" s="236" t="str">
        <f t="shared" si="39"/>
        <v>o</v>
      </c>
      <c r="B68" s="179">
        <v>3339</v>
      </c>
      <c r="C68" s="179" t="s">
        <v>268</v>
      </c>
      <c r="D68" s="262"/>
      <c r="E68" s="261"/>
      <c r="F68" s="244">
        <f>SUMIF(nhatky_tkno,B68,nhatky_sotien)</f>
        <v>0</v>
      </c>
      <c r="G68" s="244">
        <f>SUMIF(nhatky_tkco,B68,nhatky_sotien)</f>
        <v>0</v>
      </c>
      <c r="H68" s="244">
        <f>MAX(D68+F68-E68-G68,0)</f>
        <v>0</v>
      </c>
      <c r="I68" s="244">
        <f>MAX(E68+G68-D68-F68,0)</f>
        <v>0</v>
      </c>
      <c r="L68" s="127"/>
      <c r="M68" s="127"/>
      <c r="N68" s="241"/>
      <c r="O68" s="241"/>
    </row>
    <row r="69" spans="1:15" ht="21.95" customHeight="1">
      <c r="A69" s="236" t="str">
        <f t="shared" si="39"/>
        <v>o</v>
      </c>
      <c r="B69" s="181">
        <v>334</v>
      </c>
      <c r="C69" s="263" t="s">
        <v>234</v>
      </c>
      <c r="D69" s="246">
        <f t="shared" ref="D69:I69" si="41">SUBTOTAL(9,D70:D72)</f>
        <v>0</v>
      </c>
      <c r="E69" s="246">
        <f t="shared" si="41"/>
        <v>0</v>
      </c>
      <c r="F69" s="247">
        <f t="shared" si="41"/>
        <v>0</v>
      </c>
      <c r="G69" s="247">
        <f t="shared" si="41"/>
        <v>0</v>
      </c>
      <c r="H69" s="247">
        <f t="shared" si="41"/>
        <v>0</v>
      </c>
      <c r="I69" s="247">
        <f t="shared" si="41"/>
        <v>0</v>
      </c>
      <c r="K69" s="127"/>
      <c r="L69" s="127"/>
      <c r="M69" s="127"/>
      <c r="N69" s="241"/>
      <c r="O69" s="241"/>
    </row>
    <row r="70" spans="1:15" ht="21.95" customHeight="1">
      <c r="A70" s="236" t="str">
        <f t="shared" si="39"/>
        <v>o</v>
      </c>
      <c r="B70" s="184" t="s">
        <v>232</v>
      </c>
      <c r="C70" s="264" t="s">
        <v>233</v>
      </c>
      <c r="D70" s="248">
        <f t="shared" ref="D70:I70" si="42">SUBTOTAL(9,D71:D72)</f>
        <v>0</v>
      </c>
      <c r="E70" s="248">
        <f t="shared" si="42"/>
        <v>0</v>
      </c>
      <c r="F70" s="190">
        <f t="shared" si="42"/>
        <v>0</v>
      </c>
      <c r="G70" s="190">
        <f t="shared" si="42"/>
        <v>0</v>
      </c>
      <c r="H70" s="190">
        <f t="shared" si="42"/>
        <v>0</v>
      </c>
      <c r="I70" s="190">
        <f t="shared" si="42"/>
        <v>0</v>
      </c>
      <c r="L70" s="127"/>
      <c r="M70" s="127"/>
      <c r="N70" s="241"/>
      <c r="O70" s="241"/>
    </row>
    <row r="71" spans="1:15" ht="21.95" customHeight="1">
      <c r="A71" s="236" t="str">
        <f t="shared" si="39"/>
        <v>o</v>
      </c>
      <c r="B71" s="189" t="s">
        <v>70</v>
      </c>
      <c r="C71" s="267" t="s">
        <v>72</v>
      </c>
      <c r="D71" s="248"/>
      <c r="E71" s="248"/>
      <c r="F71" s="265">
        <f>SUMIF(nhatky_tkno,B71,nhatky_sotien)</f>
        <v>0</v>
      </c>
      <c r="G71" s="265">
        <f>SUMIF(nhatky_tkco,B71,nhatky_sotien)</f>
        <v>0</v>
      </c>
      <c r="H71" s="265">
        <f>MAX(D71+F71-E71-G71,0)</f>
        <v>0</v>
      </c>
      <c r="I71" s="265">
        <f>MAX(E71+G71-D71-F71,0)</f>
        <v>0</v>
      </c>
      <c r="L71" s="127"/>
      <c r="M71" s="127"/>
      <c r="N71" s="241"/>
      <c r="O71" s="241"/>
    </row>
    <row r="72" spans="1:15" ht="21.95" customHeight="1">
      <c r="A72" s="236" t="str">
        <f t="shared" si="39"/>
        <v>o</v>
      </c>
      <c r="B72" s="189" t="s">
        <v>71</v>
      </c>
      <c r="C72" s="189" t="s">
        <v>73</v>
      </c>
      <c r="D72" s="266"/>
      <c r="E72" s="266"/>
      <c r="F72" s="265">
        <f>SUMIF(nhatky_tkno,B72,nhatky_sotien)</f>
        <v>0</v>
      </c>
      <c r="G72" s="265">
        <f>SUMIF(nhatky_tkco,B72,nhatky_sotien)</f>
        <v>0</v>
      </c>
      <c r="H72" s="265">
        <f>MAX(D72+F72-E72-G72,0)</f>
        <v>0</v>
      </c>
      <c r="I72" s="265">
        <f>MAX(E72+G72-D72-F72,0)</f>
        <v>0</v>
      </c>
      <c r="L72" s="127"/>
      <c r="M72" s="127"/>
      <c r="N72" s="241"/>
      <c r="O72" s="241"/>
    </row>
    <row r="73" spans="1:15" ht="21.95" customHeight="1">
      <c r="A73" s="236" t="str">
        <f t="shared" si="39"/>
        <v>o</v>
      </c>
      <c r="B73" s="181" t="s">
        <v>12</v>
      </c>
      <c r="C73" s="263" t="s">
        <v>69</v>
      </c>
      <c r="D73" s="249">
        <f t="shared" ref="D73:I73" si="43">SUBTOTAL(9,D74:D80)</f>
        <v>0</v>
      </c>
      <c r="E73" s="249">
        <f t="shared" si="43"/>
        <v>0</v>
      </c>
      <c r="F73" s="250">
        <f t="shared" si="43"/>
        <v>0</v>
      </c>
      <c r="G73" s="250">
        <f t="shared" si="43"/>
        <v>0</v>
      </c>
      <c r="H73" s="250">
        <f t="shared" si="43"/>
        <v>0</v>
      </c>
      <c r="I73" s="250">
        <f t="shared" si="43"/>
        <v>0</v>
      </c>
      <c r="L73" s="127"/>
      <c r="M73" s="127"/>
      <c r="N73" s="241"/>
      <c r="O73" s="241"/>
    </row>
    <row r="74" spans="1:15" ht="21.95" customHeight="1">
      <c r="A74" s="236" t="str">
        <f t="shared" si="39"/>
        <v>o</v>
      </c>
      <c r="B74" s="189">
        <v>3382</v>
      </c>
      <c r="C74" s="267" t="s">
        <v>75</v>
      </c>
      <c r="D74" s="268"/>
      <c r="E74" s="268"/>
      <c r="F74" s="265">
        <f t="shared" ref="F74" si="44">SUMIF(nhatky_tkno,B74,nhatky_sotien)</f>
        <v>0</v>
      </c>
      <c r="G74" s="265">
        <f t="shared" ref="G74" si="45">SUMIF(nhatky_tkco,B74,nhatky_sotien)</f>
        <v>0</v>
      </c>
      <c r="H74" s="265">
        <f t="shared" ref="H74" si="46">MAX(D74+F74-E74-G74,0)</f>
        <v>0</v>
      </c>
      <c r="I74" s="265">
        <f t="shared" ref="I74" si="47">MAX(E74+G74-D74-F74,0)</f>
        <v>0</v>
      </c>
      <c r="K74" s="269"/>
      <c r="L74" s="127"/>
      <c r="M74" s="127"/>
      <c r="N74" s="241"/>
      <c r="O74" s="241"/>
    </row>
    <row r="75" spans="1:15" ht="21.95" customHeight="1">
      <c r="A75" s="236" t="str">
        <f t="shared" si="39"/>
        <v>o</v>
      </c>
      <c r="B75" s="189">
        <v>3383</v>
      </c>
      <c r="C75" s="267" t="s">
        <v>76</v>
      </c>
      <c r="D75" s="268"/>
      <c r="E75" s="268"/>
      <c r="F75" s="265">
        <f t="shared" ref="F75:F77" si="48">SUMIF(nhatky_tkno,B75,nhatky_sotien)</f>
        <v>0</v>
      </c>
      <c r="G75" s="265">
        <f t="shared" ref="G75:G77" si="49">SUMIF(nhatky_tkco,B75,nhatky_sotien)</f>
        <v>0</v>
      </c>
      <c r="H75" s="265">
        <f t="shared" ref="H75:H77" si="50">MAX(D75+F75-E75-G75,0)</f>
        <v>0</v>
      </c>
      <c r="I75" s="265">
        <f t="shared" ref="I75:I77" si="51">MAX(E75+G75-D75-F75,0)</f>
        <v>0</v>
      </c>
      <c r="K75" s="269"/>
      <c r="L75" s="127"/>
      <c r="M75" s="127"/>
      <c r="N75" s="241"/>
      <c r="O75" s="241"/>
    </row>
    <row r="76" spans="1:15" ht="21.95" customHeight="1">
      <c r="A76" s="236" t="str">
        <f t="shared" si="39"/>
        <v>o</v>
      </c>
      <c r="B76" s="189">
        <v>3384</v>
      </c>
      <c r="C76" s="267" t="s">
        <v>77</v>
      </c>
      <c r="D76" s="268"/>
      <c r="E76" s="268"/>
      <c r="F76" s="265">
        <f t="shared" si="48"/>
        <v>0</v>
      </c>
      <c r="G76" s="265">
        <f t="shared" si="49"/>
        <v>0</v>
      </c>
      <c r="H76" s="265">
        <f t="shared" si="50"/>
        <v>0</v>
      </c>
      <c r="I76" s="265">
        <f t="shared" si="51"/>
        <v>0</v>
      </c>
      <c r="L76" s="127"/>
      <c r="M76" s="127"/>
      <c r="N76" s="241"/>
      <c r="O76" s="241"/>
    </row>
    <row r="77" spans="1:15" ht="21.95" customHeight="1">
      <c r="A77" s="236" t="str">
        <f>IF(SUM(D77:I77)&lt;&gt;0,"1","o")</f>
        <v>o</v>
      </c>
      <c r="B77" s="189" t="s">
        <v>314</v>
      </c>
      <c r="C77" s="267" t="s">
        <v>271</v>
      </c>
      <c r="D77" s="268"/>
      <c r="E77" s="268"/>
      <c r="F77" s="265">
        <f t="shared" si="48"/>
        <v>0</v>
      </c>
      <c r="G77" s="265">
        <f t="shared" si="49"/>
        <v>0</v>
      </c>
      <c r="H77" s="265">
        <f t="shared" si="50"/>
        <v>0</v>
      </c>
      <c r="I77" s="265">
        <f t="shared" si="51"/>
        <v>0</v>
      </c>
      <c r="L77" s="127"/>
      <c r="M77" s="127"/>
      <c r="N77" s="241"/>
      <c r="O77" s="241"/>
    </row>
    <row r="78" spans="1:15" ht="21.95" customHeight="1">
      <c r="A78" s="236" t="str">
        <f t="shared" si="39"/>
        <v>o</v>
      </c>
      <c r="B78" s="184">
        <v>3388</v>
      </c>
      <c r="C78" s="264" t="s">
        <v>78</v>
      </c>
      <c r="D78" s="248">
        <f t="shared" ref="D78:I78" si="52">SUBTOTAL(9,D79:D80)</f>
        <v>0</v>
      </c>
      <c r="E78" s="248">
        <f t="shared" si="52"/>
        <v>0</v>
      </c>
      <c r="F78" s="190">
        <f t="shared" si="52"/>
        <v>0</v>
      </c>
      <c r="G78" s="190">
        <f t="shared" si="52"/>
        <v>0</v>
      </c>
      <c r="H78" s="190">
        <f t="shared" si="52"/>
        <v>0</v>
      </c>
      <c r="I78" s="190">
        <f t="shared" si="52"/>
        <v>0</v>
      </c>
      <c r="L78" s="127"/>
      <c r="M78" s="127"/>
      <c r="N78" s="241"/>
      <c r="O78" s="241"/>
    </row>
    <row r="79" spans="1:15" ht="21.95" customHeight="1">
      <c r="A79" s="236" t="str">
        <f t="shared" si="39"/>
        <v>o</v>
      </c>
      <c r="B79" s="189" t="s">
        <v>248</v>
      </c>
      <c r="C79" s="267" t="s">
        <v>372</v>
      </c>
      <c r="D79" s="270"/>
      <c r="E79" s="270"/>
      <c r="F79" s="265">
        <f>SUMIF(nhatky_tkno,B79,nhatky_sotien)</f>
        <v>0</v>
      </c>
      <c r="G79" s="265">
        <f>SUMIF(nhatky_tkco,B79,nhatky_sotien)</f>
        <v>0</v>
      </c>
      <c r="H79" s="265">
        <f>MAX(D79+F79-E79-G79,0)</f>
        <v>0</v>
      </c>
      <c r="I79" s="265">
        <f>MAX(E79+G79-D79-F79,0)</f>
        <v>0</v>
      </c>
      <c r="L79" s="127"/>
      <c r="M79" s="127"/>
      <c r="N79" s="241"/>
      <c r="O79" s="241"/>
    </row>
    <row r="80" spans="1:15" ht="21.95" customHeight="1">
      <c r="A80" s="236" t="str">
        <f t="shared" si="39"/>
        <v>o</v>
      </c>
      <c r="B80" s="189" t="s">
        <v>249</v>
      </c>
      <c r="C80" s="267" t="s">
        <v>372</v>
      </c>
      <c r="D80" s="270"/>
      <c r="E80" s="270"/>
      <c r="F80" s="265">
        <f>SUMIF(nhatky_tkno,B80,nhatky_sotien)</f>
        <v>0</v>
      </c>
      <c r="G80" s="265">
        <f>SUMIF(nhatky_tkco,B80,nhatky_sotien)</f>
        <v>0</v>
      </c>
      <c r="H80" s="265">
        <f>MAX(D80+F80-E80-G80,0)</f>
        <v>0</v>
      </c>
      <c r="I80" s="265">
        <f>MAX(E80+G80-D80-F80,0)</f>
        <v>0</v>
      </c>
      <c r="K80" s="241"/>
      <c r="L80" s="127"/>
      <c r="M80" s="127"/>
      <c r="N80" s="241"/>
      <c r="O80" s="241"/>
    </row>
    <row r="81" spans="1:15" ht="21.95" customHeight="1">
      <c r="A81" s="236" t="str">
        <f t="shared" si="39"/>
        <v>o</v>
      </c>
      <c r="B81" s="181" t="s">
        <v>68</v>
      </c>
      <c r="C81" s="263" t="s">
        <v>315</v>
      </c>
      <c r="D81" s="249">
        <f t="shared" ref="D81:I81" si="53">SUBTOTAL(9,D82:D83)</f>
        <v>0</v>
      </c>
      <c r="E81" s="249">
        <f t="shared" si="53"/>
        <v>0</v>
      </c>
      <c r="F81" s="250">
        <f t="shared" si="53"/>
        <v>0</v>
      </c>
      <c r="G81" s="250">
        <f t="shared" si="53"/>
        <v>0</v>
      </c>
      <c r="H81" s="250">
        <f t="shared" si="53"/>
        <v>0</v>
      </c>
      <c r="I81" s="250">
        <f t="shared" si="53"/>
        <v>0</v>
      </c>
      <c r="L81" s="127"/>
      <c r="M81" s="127"/>
      <c r="N81" s="241"/>
      <c r="O81" s="241"/>
    </row>
    <row r="82" spans="1:15" ht="21.95" customHeight="1">
      <c r="A82" s="236" t="str">
        <f t="shared" si="39"/>
        <v>o</v>
      </c>
      <c r="B82" s="179" t="s">
        <v>74</v>
      </c>
      <c r="C82" s="179" t="s">
        <v>515</v>
      </c>
      <c r="D82" s="261"/>
      <c r="E82" s="243"/>
      <c r="F82" s="244">
        <f>SUMIF(nhatky_tkno,B82,nhatky_sotien)</f>
        <v>0</v>
      </c>
      <c r="G82" s="244">
        <f>SUMIF(nhatky_tkco,B82,nhatky_sotien)</f>
        <v>0</v>
      </c>
      <c r="H82" s="244">
        <f>MAX(D82+F82-E82-G82,0)</f>
        <v>0</v>
      </c>
      <c r="I82" s="244">
        <f>MAX(E82+G82-D82-F82,0)</f>
        <v>0</v>
      </c>
      <c r="L82" s="127"/>
      <c r="M82" s="127"/>
      <c r="N82" s="241"/>
      <c r="O82" s="241"/>
    </row>
    <row r="83" spans="1:15" ht="21.95" customHeight="1">
      <c r="A83" s="236" t="str">
        <f t="shared" si="39"/>
        <v>o</v>
      </c>
      <c r="B83" s="179" t="s">
        <v>250</v>
      </c>
      <c r="C83" s="179" t="s">
        <v>380</v>
      </c>
      <c r="D83" s="261"/>
      <c r="E83" s="261"/>
      <c r="F83" s="244">
        <f>SUMIF(nhatky_tkno,B83,nhatky_sotien)</f>
        <v>0</v>
      </c>
      <c r="G83" s="244">
        <f>SUMIF(nhatky_tkco,B83,nhatky_sotien)</f>
        <v>0</v>
      </c>
      <c r="H83" s="244">
        <f>MAX(D83+F83-E83-G83,0)</f>
        <v>0</v>
      </c>
      <c r="I83" s="244">
        <f>MAX(E83+G83-D83-F83,0)</f>
        <v>0</v>
      </c>
      <c r="L83" s="127"/>
      <c r="M83" s="127"/>
      <c r="N83" s="241"/>
      <c r="O83" s="241"/>
    </row>
    <row r="84" spans="1:15" ht="21.95" customHeight="1">
      <c r="A84" s="236" t="str">
        <f t="shared" si="39"/>
        <v>1</v>
      </c>
      <c r="B84" s="245">
        <v>411</v>
      </c>
      <c r="C84" s="245" t="s">
        <v>316</v>
      </c>
      <c r="D84" s="249"/>
      <c r="E84" s="249">
        <f>SUBTOTAL(9,E85:E85)</f>
        <v>10000000000</v>
      </c>
      <c r="F84" s="250">
        <f>SUBTOTAL(9,F85:F85)</f>
        <v>0</v>
      </c>
      <c r="G84" s="250">
        <f>SUBTOTAL(9,G85:G85)</f>
        <v>0</v>
      </c>
      <c r="H84" s="250">
        <f>SUBTOTAL(9,H85:H85)</f>
        <v>0</v>
      </c>
      <c r="I84" s="250">
        <f>SUBTOTAL(9,I85:I85)</f>
        <v>10000000000</v>
      </c>
      <c r="L84" s="127"/>
      <c r="M84" s="127"/>
      <c r="N84" s="241"/>
      <c r="O84" s="241"/>
    </row>
    <row r="85" spans="1:15" ht="21.95" customHeight="1">
      <c r="A85" s="236" t="str">
        <f t="shared" si="39"/>
        <v>1</v>
      </c>
      <c r="B85" s="179">
        <v>4111</v>
      </c>
      <c r="C85" s="179" t="s">
        <v>317</v>
      </c>
      <c r="D85" s="261"/>
      <c r="E85" s="243">
        <v>10000000000</v>
      </c>
      <c r="F85" s="244">
        <f>SUMIF(nhatky_tkno,B85,nhatky_sotien)</f>
        <v>0</v>
      </c>
      <c r="G85" s="244">
        <f>SUMIF(nhatky_tkco,B85,nhatky_sotien)</f>
        <v>0</v>
      </c>
      <c r="H85" s="244">
        <f>MAX(D85+F85-E85-G85,0)</f>
        <v>0</v>
      </c>
      <c r="I85" s="244">
        <f>MAX(E85+G85-D85-F85,0)</f>
        <v>10000000000</v>
      </c>
      <c r="L85" s="127"/>
      <c r="M85" s="127"/>
      <c r="N85" s="241"/>
      <c r="O85" s="241"/>
    </row>
    <row r="86" spans="1:15" ht="21.95" customHeight="1">
      <c r="A86" s="236" t="str">
        <f t="shared" si="39"/>
        <v>1</v>
      </c>
      <c r="B86" s="181" t="s">
        <v>36</v>
      </c>
      <c r="C86" s="181" t="s">
        <v>396</v>
      </c>
      <c r="D86" s="249">
        <f t="shared" ref="D86:I86" si="54">SUBTOTAL(9,D87:D88)</f>
        <v>0</v>
      </c>
      <c r="E86" s="249">
        <f t="shared" si="54"/>
        <v>650000000</v>
      </c>
      <c r="F86" s="250">
        <f t="shared" si="54"/>
        <v>0</v>
      </c>
      <c r="G86" s="250">
        <f t="shared" si="54"/>
        <v>0</v>
      </c>
      <c r="H86" s="250">
        <f t="shared" si="54"/>
        <v>0</v>
      </c>
      <c r="I86" s="250">
        <f t="shared" si="54"/>
        <v>650000000</v>
      </c>
      <c r="L86" s="127"/>
      <c r="M86" s="127"/>
      <c r="N86" s="241"/>
      <c r="O86" s="241"/>
    </row>
    <row r="87" spans="1:15" ht="21.95" customHeight="1">
      <c r="A87" s="236" t="str">
        <f t="shared" si="39"/>
        <v>1</v>
      </c>
      <c r="B87" s="179">
        <v>4211</v>
      </c>
      <c r="C87" s="179" t="s">
        <v>361</v>
      </c>
      <c r="D87" s="243"/>
      <c r="E87" s="243">
        <v>120000000</v>
      </c>
      <c r="F87" s="244">
        <f t="shared" ref="F87:F94" si="55">SUMIF(nhatky_tkno,B87,nhatky_sotien)</f>
        <v>0</v>
      </c>
      <c r="G87" s="244">
        <f t="shared" ref="G87:G94" si="56">SUMIF(nhatky_tkco,B87,nhatky_sotien)</f>
        <v>0</v>
      </c>
      <c r="H87" s="244">
        <f t="shared" ref="H87:H94" si="57">MAX(D87+F87-E87-G87,0)</f>
        <v>0</v>
      </c>
      <c r="I87" s="244">
        <f t="shared" ref="I87:I94" si="58">MAX(E87+G87-D87-F87,0)</f>
        <v>120000000</v>
      </c>
      <c r="K87" s="241"/>
      <c r="L87" s="127"/>
      <c r="M87" s="127"/>
      <c r="N87" s="241"/>
      <c r="O87" s="241"/>
    </row>
    <row r="88" spans="1:15" ht="21.95" customHeight="1">
      <c r="A88" s="236" t="str">
        <f t="shared" si="39"/>
        <v>1</v>
      </c>
      <c r="B88" s="179">
        <v>4212</v>
      </c>
      <c r="C88" s="179" t="s">
        <v>318</v>
      </c>
      <c r="D88" s="243"/>
      <c r="E88" s="243">
        <v>530000000</v>
      </c>
      <c r="F88" s="244">
        <f t="shared" si="55"/>
        <v>0</v>
      </c>
      <c r="G88" s="244">
        <f t="shared" si="56"/>
        <v>0</v>
      </c>
      <c r="H88" s="244">
        <f t="shared" si="57"/>
        <v>0</v>
      </c>
      <c r="I88" s="244">
        <f t="shared" si="58"/>
        <v>530000000</v>
      </c>
      <c r="K88" s="251"/>
      <c r="L88" s="127"/>
      <c r="M88" s="127"/>
      <c r="N88" s="241"/>
      <c r="O88" s="241"/>
    </row>
    <row r="89" spans="1:15" ht="21.95" customHeight="1">
      <c r="A89" s="236" t="str">
        <f t="shared" si="39"/>
        <v>o</v>
      </c>
      <c r="B89" s="181" t="s">
        <v>37</v>
      </c>
      <c r="C89" s="181" t="s">
        <v>79</v>
      </c>
      <c r="D89" s="249">
        <f t="shared" ref="D89:I89" si="59">SUBTOTAL(9,D90:D91)</f>
        <v>0</v>
      </c>
      <c r="E89" s="249">
        <f t="shared" si="59"/>
        <v>0</v>
      </c>
      <c r="F89" s="250">
        <f t="shared" si="59"/>
        <v>0</v>
      </c>
      <c r="G89" s="250">
        <f t="shared" si="59"/>
        <v>0</v>
      </c>
      <c r="H89" s="250">
        <f t="shared" si="59"/>
        <v>0</v>
      </c>
      <c r="I89" s="250">
        <f t="shared" si="59"/>
        <v>0</v>
      </c>
      <c r="K89" s="271"/>
      <c r="L89" s="127"/>
      <c r="M89" s="127"/>
      <c r="N89" s="241"/>
      <c r="O89" s="241"/>
    </row>
    <row r="90" spans="1:15" ht="21.95" customHeight="1">
      <c r="A90" s="236" t="str">
        <f t="shared" si="39"/>
        <v>o</v>
      </c>
      <c r="B90" s="179" t="s">
        <v>387</v>
      </c>
      <c r="C90" s="179" t="s">
        <v>389</v>
      </c>
      <c r="D90" s="256"/>
      <c r="E90" s="256"/>
      <c r="F90" s="244">
        <f t="shared" ref="F90:F91" si="60">SUMIF(nhatky_tkno,B90,nhatky_sotien)</f>
        <v>0</v>
      </c>
      <c r="G90" s="244">
        <f t="shared" ref="G90:G91" si="61">SUMIF(nhatky_tkco,B90,nhatky_sotien)</f>
        <v>0</v>
      </c>
      <c r="H90" s="244">
        <f t="shared" ref="H90:H91" si="62">MAX(D90+F90-E90-G90,0)</f>
        <v>0</v>
      </c>
      <c r="I90" s="244">
        <f t="shared" ref="I90:I91" si="63">MAX(E90+G90-D90-F90,0)</f>
        <v>0</v>
      </c>
      <c r="K90" s="271"/>
      <c r="L90" s="127"/>
      <c r="M90" s="127"/>
      <c r="N90" s="241"/>
      <c r="O90" s="241"/>
    </row>
    <row r="91" spans="1:15" ht="21.95" customHeight="1">
      <c r="A91" s="236" t="str">
        <f t="shared" si="39"/>
        <v>o</v>
      </c>
      <c r="B91" s="179" t="s">
        <v>388</v>
      </c>
      <c r="C91" s="179" t="s">
        <v>390</v>
      </c>
      <c r="D91" s="256"/>
      <c r="E91" s="256"/>
      <c r="F91" s="244">
        <f t="shared" si="60"/>
        <v>0</v>
      </c>
      <c r="G91" s="244">
        <f t="shared" si="61"/>
        <v>0</v>
      </c>
      <c r="H91" s="244">
        <f t="shared" si="62"/>
        <v>0</v>
      </c>
      <c r="I91" s="244">
        <f t="shared" si="63"/>
        <v>0</v>
      </c>
      <c r="K91" s="271"/>
      <c r="L91" s="127"/>
      <c r="M91" s="127"/>
      <c r="N91" s="241"/>
      <c r="O91" s="241"/>
    </row>
    <row r="92" spans="1:15" ht="21.95" customHeight="1">
      <c r="A92" s="236" t="str">
        <f t="shared" si="39"/>
        <v>o</v>
      </c>
      <c r="B92" s="181" t="s">
        <v>81</v>
      </c>
      <c r="C92" s="181" t="s">
        <v>80</v>
      </c>
      <c r="D92" s="261"/>
      <c r="E92" s="261"/>
      <c r="F92" s="247">
        <f t="shared" si="55"/>
        <v>0</v>
      </c>
      <c r="G92" s="247">
        <f t="shared" si="56"/>
        <v>0</v>
      </c>
      <c r="H92" s="247">
        <f t="shared" si="57"/>
        <v>0</v>
      </c>
      <c r="I92" s="247">
        <f t="shared" si="58"/>
        <v>0</v>
      </c>
      <c r="L92" s="127"/>
      <c r="M92" s="127"/>
      <c r="N92" s="241"/>
      <c r="O92" s="241"/>
    </row>
    <row r="93" spans="1:15" ht="21.95" customHeight="1">
      <c r="A93" s="236" t="str">
        <f t="shared" si="39"/>
        <v>o</v>
      </c>
      <c r="B93" s="181">
        <v>621</v>
      </c>
      <c r="C93" s="181" t="s">
        <v>82</v>
      </c>
      <c r="D93" s="261"/>
      <c r="E93" s="261"/>
      <c r="F93" s="247">
        <f t="shared" si="55"/>
        <v>0</v>
      </c>
      <c r="G93" s="247">
        <f t="shared" si="56"/>
        <v>0</v>
      </c>
      <c r="H93" s="247">
        <f t="shared" si="57"/>
        <v>0</v>
      </c>
      <c r="I93" s="247">
        <f t="shared" si="58"/>
        <v>0</v>
      </c>
      <c r="L93" s="127"/>
      <c r="M93" s="127"/>
      <c r="N93" s="241"/>
      <c r="O93" s="241"/>
    </row>
    <row r="94" spans="1:15" ht="21.95" customHeight="1">
      <c r="A94" s="236" t="str">
        <f t="shared" si="39"/>
        <v>o</v>
      </c>
      <c r="B94" s="181">
        <v>622</v>
      </c>
      <c r="C94" s="181" t="s">
        <v>83</v>
      </c>
      <c r="D94" s="261"/>
      <c r="E94" s="261"/>
      <c r="F94" s="247">
        <f t="shared" si="55"/>
        <v>0</v>
      </c>
      <c r="G94" s="247">
        <f t="shared" si="56"/>
        <v>0</v>
      </c>
      <c r="H94" s="247">
        <f t="shared" si="57"/>
        <v>0</v>
      </c>
      <c r="I94" s="247">
        <f t="shared" si="58"/>
        <v>0</v>
      </c>
      <c r="L94" s="127"/>
      <c r="M94" s="127"/>
      <c r="N94" s="241"/>
      <c r="O94" s="241"/>
    </row>
    <row r="95" spans="1:15" ht="21.95" hidden="1" customHeight="1">
      <c r="A95" s="236" t="str">
        <f t="shared" ref="A95:A121" si="64">IF(SUM(D95:I95)&lt;&gt;0,"1","o")</f>
        <v>o</v>
      </c>
      <c r="B95" s="181" t="s">
        <v>91</v>
      </c>
      <c r="C95" s="181" t="s">
        <v>84</v>
      </c>
      <c r="D95" s="261"/>
      <c r="E95" s="261"/>
      <c r="F95" s="250">
        <f>SUBTOTAL(9,F96:F101)</f>
        <v>0</v>
      </c>
      <c r="G95" s="250">
        <f>SUBTOTAL(9,G96:G101)</f>
        <v>0</v>
      </c>
      <c r="H95" s="250">
        <f>SUBTOTAL(9,H96:H101)</f>
        <v>0</v>
      </c>
      <c r="I95" s="250">
        <f>SUBTOTAL(9,I96:I101)</f>
        <v>0</v>
      </c>
      <c r="L95" s="127"/>
      <c r="M95" s="127"/>
      <c r="N95" s="241"/>
      <c r="O95" s="241"/>
    </row>
    <row r="96" spans="1:15" ht="21.95" hidden="1" customHeight="1">
      <c r="A96" s="236" t="str">
        <f t="shared" si="64"/>
        <v>o</v>
      </c>
      <c r="B96" s="180">
        <v>6271</v>
      </c>
      <c r="C96" s="180" t="s">
        <v>85</v>
      </c>
      <c r="D96" s="261"/>
      <c r="E96" s="261"/>
      <c r="F96" s="244">
        <f t="shared" ref="F96:F101" si="65">SUMIF(nhatky_tkno,B96,nhatky_sotien)</f>
        <v>0</v>
      </c>
      <c r="G96" s="244">
        <f t="shared" ref="G96:G101" si="66">SUMIF(nhatky_tkco,B96,nhatky_sotien)</f>
        <v>0</v>
      </c>
      <c r="H96" s="244">
        <f t="shared" ref="H96:H101" si="67">MAX(D96+F96-E96-G96,0)</f>
        <v>0</v>
      </c>
      <c r="I96" s="244">
        <f t="shared" ref="I96:I101" si="68">MAX(E96+G96-D96-F96,0)</f>
        <v>0</v>
      </c>
      <c r="L96" s="127"/>
      <c r="M96" s="127"/>
      <c r="N96" s="241"/>
      <c r="O96" s="241"/>
    </row>
    <row r="97" spans="1:15" ht="21.95" hidden="1" customHeight="1">
      <c r="A97" s="236" t="str">
        <f t="shared" si="64"/>
        <v>o</v>
      </c>
      <c r="B97" s="180">
        <v>6272</v>
      </c>
      <c r="C97" s="180" t="s">
        <v>86</v>
      </c>
      <c r="D97" s="261"/>
      <c r="E97" s="261"/>
      <c r="F97" s="244">
        <f t="shared" si="65"/>
        <v>0</v>
      </c>
      <c r="G97" s="244">
        <f t="shared" si="66"/>
        <v>0</v>
      </c>
      <c r="H97" s="244">
        <f t="shared" si="67"/>
        <v>0</v>
      </c>
      <c r="I97" s="244">
        <f t="shared" si="68"/>
        <v>0</v>
      </c>
      <c r="L97" s="127"/>
      <c r="M97" s="127"/>
      <c r="N97" s="241"/>
      <c r="O97" s="241"/>
    </row>
    <row r="98" spans="1:15" ht="21.95" hidden="1" customHeight="1">
      <c r="A98" s="236" t="str">
        <f t="shared" si="64"/>
        <v>o</v>
      </c>
      <c r="B98" s="180">
        <v>6273</v>
      </c>
      <c r="C98" s="180" t="s">
        <v>87</v>
      </c>
      <c r="D98" s="261"/>
      <c r="E98" s="261"/>
      <c r="F98" s="244">
        <f t="shared" si="65"/>
        <v>0</v>
      </c>
      <c r="G98" s="244">
        <f t="shared" si="66"/>
        <v>0</v>
      </c>
      <c r="H98" s="244">
        <f t="shared" si="67"/>
        <v>0</v>
      </c>
      <c r="I98" s="244">
        <f t="shared" si="68"/>
        <v>0</v>
      </c>
      <c r="L98" s="127"/>
      <c r="M98" s="127"/>
      <c r="N98" s="241"/>
      <c r="O98" s="241"/>
    </row>
    <row r="99" spans="1:15" ht="21.95" hidden="1" customHeight="1">
      <c r="A99" s="236" t="str">
        <f t="shared" si="64"/>
        <v>o</v>
      </c>
      <c r="B99" s="180">
        <v>6274</v>
      </c>
      <c r="C99" s="180" t="s">
        <v>88</v>
      </c>
      <c r="D99" s="261"/>
      <c r="E99" s="261"/>
      <c r="F99" s="244">
        <f t="shared" si="65"/>
        <v>0</v>
      </c>
      <c r="G99" s="244">
        <f t="shared" si="66"/>
        <v>0</v>
      </c>
      <c r="H99" s="244">
        <f t="shared" si="67"/>
        <v>0</v>
      </c>
      <c r="I99" s="244">
        <f t="shared" si="68"/>
        <v>0</v>
      </c>
      <c r="L99" s="127"/>
      <c r="M99" s="127"/>
      <c r="N99" s="241"/>
      <c r="O99" s="241"/>
    </row>
    <row r="100" spans="1:15" ht="21.95" hidden="1" customHeight="1">
      <c r="A100" s="236" t="str">
        <f t="shared" si="64"/>
        <v>o</v>
      </c>
      <c r="B100" s="180">
        <v>6277</v>
      </c>
      <c r="C100" s="180" t="s">
        <v>89</v>
      </c>
      <c r="D100" s="261"/>
      <c r="E100" s="261"/>
      <c r="F100" s="244">
        <f t="shared" si="65"/>
        <v>0</v>
      </c>
      <c r="G100" s="244">
        <f t="shared" si="66"/>
        <v>0</v>
      </c>
      <c r="H100" s="244">
        <f t="shared" si="67"/>
        <v>0</v>
      </c>
      <c r="I100" s="244">
        <f t="shared" si="68"/>
        <v>0</v>
      </c>
      <c r="L100" s="127"/>
      <c r="M100" s="127"/>
      <c r="N100" s="241"/>
      <c r="O100" s="241"/>
    </row>
    <row r="101" spans="1:15" ht="21.95" hidden="1" customHeight="1">
      <c r="A101" s="236" t="str">
        <f t="shared" si="64"/>
        <v>o</v>
      </c>
      <c r="B101" s="180">
        <v>6278</v>
      </c>
      <c r="C101" s="180" t="s">
        <v>90</v>
      </c>
      <c r="D101" s="261"/>
      <c r="E101" s="261"/>
      <c r="F101" s="244">
        <f t="shared" si="65"/>
        <v>0</v>
      </c>
      <c r="G101" s="244">
        <f t="shared" si="66"/>
        <v>0</v>
      </c>
      <c r="H101" s="244">
        <f t="shared" si="67"/>
        <v>0</v>
      </c>
      <c r="I101" s="244">
        <f t="shared" si="68"/>
        <v>0</v>
      </c>
      <c r="L101" s="127"/>
      <c r="M101" s="127"/>
      <c r="N101" s="241"/>
      <c r="O101" s="241"/>
    </row>
    <row r="102" spans="1:15" ht="21.95" customHeight="1">
      <c r="A102" s="236" t="str">
        <f t="shared" si="64"/>
        <v>o</v>
      </c>
      <c r="B102" s="181" t="s">
        <v>93</v>
      </c>
      <c r="C102" s="181" t="s">
        <v>92</v>
      </c>
      <c r="D102" s="261"/>
      <c r="E102" s="261"/>
      <c r="F102" s="247">
        <f>SUBTOTAL(9,F103:F104)</f>
        <v>0</v>
      </c>
      <c r="G102" s="247">
        <f t="shared" ref="G102:I102" si="69">SUBTOTAL(9,G103:G104)</f>
        <v>0</v>
      </c>
      <c r="H102" s="247">
        <f t="shared" si="69"/>
        <v>0</v>
      </c>
      <c r="I102" s="247">
        <f t="shared" si="69"/>
        <v>0</v>
      </c>
      <c r="K102" s="272"/>
      <c r="L102" s="127"/>
      <c r="M102" s="127"/>
      <c r="N102" s="241"/>
      <c r="O102" s="241"/>
    </row>
    <row r="103" spans="1:15" ht="21.95" customHeight="1">
      <c r="A103" s="236" t="str">
        <f t="shared" si="64"/>
        <v>o</v>
      </c>
      <c r="B103" s="180" t="s">
        <v>362</v>
      </c>
      <c r="C103" s="180" t="s">
        <v>364</v>
      </c>
      <c r="D103" s="261"/>
      <c r="E103" s="261"/>
      <c r="F103" s="244">
        <f t="shared" ref="F103:F104" si="70">SUMIF(nhatky_tkno,B103,nhatky_sotien)</f>
        <v>0</v>
      </c>
      <c r="G103" s="244">
        <f t="shared" ref="G103:G104" si="71">SUMIF(nhatky_tkco,B103,nhatky_sotien)</f>
        <v>0</v>
      </c>
      <c r="H103" s="244">
        <f t="shared" ref="H103:H104" si="72">MAX(D103+F103-E103-G103,0)</f>
        <v>0</v>
      </c>
      <c r="I103" s="244">
        <f t="shared" ref="I103:I104" si="73">MAX(E103+G103-D103-F103,0)</f>
        <v>0</v>
      </c>
      <c r="K103" s="272"/>
      <c r="L103" s="127"/>
      <c r="M103" s="127"/>
      <c r="N103" s="241"/>
      <c r="O103" s="241"/>
    </row>
    <row r="104" spans="1:15" ht="21.95" customHeight="1">
      <c r="A104" s="236" t="str">
        <f t="shared" si="64"/>
        <v>o</v>
      </c>
      <c r="B104" s="180" t="s">
        <v>363</v>
      </c>
      <c r="C104" s="180" t="s">
        <v>365</v>
      </c>
      <c r="D104" s="261"/>
      <c r="E104" s="261"/>
      <c r="F104" s="244">
        <f t="shared" si="70"/>
        <v>0</v>
      </c>
      <c r="G104" s="244">
        <f t="shared" si="71"/>
        <v>0</v>
      </c>
      <c r="H104" s="244">
        <f t="shared" si="72"/>
        <v>0</v>
      </c>
      <c r="I104" s="244">
        <f t="shared" si="73"/>
        <v>0</v>
      </c>
      <c r="K104" s="272"/>
      <c r="L104" s="127"/>
      <c r="M104" s="127"/>
      <c r="N104" s="241"/>
      <c r="O104" s="241"/>
    </row>
    <row r="105" spans="1:15" ht="21.95" customHeight="1">
      <c r="A105" s="236" t="str">
        <f t="shared" si="64"/>
        <v>o</v>
      </c>
      <c r="B105" s="181" t="s">
        <v>38</v>
      </c>
      <c r="C105" s="181" t="s">
        <v>39</v>
      </c>
      <c r="D105" s="261"/>
      <c r="E105" s="261"/>
      <c r="F105" s="247">
        <f>SUMIF(nhatky_tkno,B105,nhatky_sotien)</f>
        <v>0</v>
      </c>
      <c r="G105" s="247">
        <f>SUMIF(nhatky_tkco,B105,nhatky_sotien)</f>
        <v>0</v>
      </c>
      <c r="H105" s="247">
        <f>MAX(D105+F105-E105-G105,0)</f>
        <v>0</v>
      </c>
      <c r="I105" s="247">
        <f>MAX(E105+G105-D105-F105,0)</f>
        <v>0</v>
      </c>
      <c r="L105" s="127"/>
      <c r="M105" s="127"/>
      <c r="N105" s="241"/>
      <c r="O105" s="241"/>
    </row>
    <row r="106" spans="1:15" ht="21.95" customHeight="1">
      <c r="A106" s="236" t="str">
        <f t="shared" si="64"/>
        <v>o</v>
      </c>
      <c r="B106" s="181" t="s">
        <v>104</v>
      </c>
      <c r="C106" s="181" t="s">
        <v>94</v>
      </c>
      <c r="D106" s="261"/>
      <c r="E106" s="261"/>
      <c r="F106" s="247">
        <f>SUBTOTAL(9,F107:F113)</f>
        <v>0</v>
      </c>
      <c r="G106" s="247">
        <f>SUBTOTAL(9,G107:G113)</f>
        <v>0</v>
      </c>
      <c r="H106" s="247">
        <f>SUBTOTAL(9,H107:H113)</f>
        <v>0</v>
      </c>
      <c r="I106" s="247">
        <f>SUBTOTAL(9,I107:I113)</f>
        <v>0</v>
      </c>
      <c r="L106" s="127"/>
      <c r="M106" s="127"/>
      <c r="N106" s="241"/>
      <c r="O106" s="241"/>
    </row>
    <row r="107" spans="1:15" ht="21.95" customHeight="1">
      <c r="A107" s="236" t="str">
        <f t="shared" si="64"/>
        <v>o</v>
      </c>
      <c r="B107" s="180">
        <v>6411</v>
      </c>
      <c r="C107" s="180" t="s">
        <v>95</v>
      </c>
      <c r="D107" s="261"/>
      <c r="E107" s="261"/>
      <c r="F107" s="244">
        <f t="shared" ref="F107:F113" si="74">SUMIF(nhatky_tkno,B107,nhatky_sotien)</f>
        <v>0</v>
      </c>
      <c r="G107" s="244">
        <f t="shared" ref="G107:G113" si="75">SUMIF(nhatky_tkco,B107,nhatky_sotien)</f>
        <v>0</v>
      </c>
      <c r="H107" s="244">
        <f t="shared" ref="H107:H113" si="76">MAX(D107+F107-E107-G107,0)</f>
        <v>0</v>
      </c>
      <c r="I107" s="244">
        <f t="shared" ref="I107:I113" si="77">MAX(E107+G107-D107-F107,0)</f>
        <v>0</v>
      </c>
      <c r="L107" s="127"/>
      <c r="M107" s="127"/>
      <c r="N107" s="241"/>
      <c r="O107" s="241"/>
    </row>
    <row r="108" spans="1:15" ht="21.95" customHeight="1">
      <c r="A108" s="236" t="str">
        <f t="shared" si="64"/>
        <v>o</v>
      </c>
      <c r="B108" s="180">
        <v>6412</v>
      </c>
      <c r="C108" s="180" t="s">
        <v>319</v>
      </c>
      <c r="D108" s="261"/>
      <c r="E108" s="261"/>
      <c r="F108" s="244">
        <f t="shared" si="74"/>
        <v>0</v>
      </c>
      <c r="G108" s="244">
        <f t="shared" si="75"/>
        <v>0</v>
      </c>
      <c r="H108" s="244">
        <f t="shared" si="76"/>
        <v>0</v>
      </c>
      <c r="I108" s="244">
        <f t="shared" si="77"/>
        <v>0</v>
      </c>
      <c r="L108" s="127"/>
      <c r="M108" s="127"/>
      <c r="N108" s="241"/>
      <c r="O108" s="241"/>
    </row>
    <row r="109" spans="1:15" ht="21.95" customHeight="1">
      <c r="A109" s="236" t="str">
        <f t="shared" si="64"/>
        <v>o</v>
      </c>
      <c r="B109" s="180">
        <v>6413</v>
      </c>
      <c r="C109" s="180" t="s">
        <v>96</v>
      </c>
      <c r="D109" s="261"/>
      <c r="E109" s="261"/>
      <c r="F109" s="244">
        <f t="shared" si="74"/>
        <v>0</v>
      </c>
      <c r="G109" s="244">
        <f t="shared" si="75"/>
        <v>0</v>
      </c>
      <c r="H109" s="244">
        <f t="shared" si="76"/>
        <v>0</v>
      </c>
      <c r="I109" s="244">
        <f t="shared" si="77"/>
        <v>0</v>
      </c>
      <c r="L109" s="127"/>
      <c r="M109" s="127"/>
      <c r="N109" s="241"/>
      <c r="O109" s="241"/>
    </row>
    <row r="110" spans="1:15" ht="21.95" customHeight="1">
      <c r="A110" s="236" t="str">
        <f t="shared" si="64"/>
        <v>o</v>
      </c>
      <c r="B110" s="180">
        <v>6414</v>
      </c>
      <c r="C110" s="180" t="s">
        <v>88</v>
      </c>
      <c r="D110" s="261"/>
      <c r="E110" s="261"/>
      <c r="F110" s="244">
        <f t="shared" si="74"/>
        <v>0</v>
      </c>
      <c r="G110" s="244">
        <f t="shared" si="75"/>
        <v>0</v>
      </c>
      <c r="H110" s="244">
        <f t="shared" si="76"/>
        <v>0</v>
      </c>
      <c r="I110" s="244">
        <f t="shared" si="77"/>
        <v>0</v>
      </c>
      <c r="L110" s="127"/>
      <c r="M110" s="127"/>
      <c r="N110" s="241"/>
      <c r="O110" s="241"/>
    </row>
    <row r="111" spans="1:15" ht="21.95" customHeight="1">
      <c r="A111" s="236" t="str">
        <f t="shared" si="64"/>
        <v>o</v>
      </c>
      <c r="B111" s="180">
        <v>6415</v>
      </c>
      <c r="C111" s="180" t="s">
        <v>97</v>
      </c>
      <c r="D111" s="261"/>
      <c r="E111" s="261"/>
      <c r="F111" s="244">
        <f t="shared" si="74"/>
        <v>0</v>
      </c>
      <c r="G111" s="244">
        <f t="shared" si="75"/>
        <v>0</v>
      </c>
      <c r="H111" s="244">
        <f t="shared" si="76"/>
        <v>0</v>
      </c>
      <c r="I111" s="244">
        <f t="shared" si="77"/>
        <v>0</v>
      </c>
      <c r="L111" s="127"/>
      <c r="M111" s="127"/>
      <c r="N111" s="241"/>
      <c r="O111" s="241"/>
    </row>
    <row r="112" spans="1:15" ht="21.95" customHeight="1">
      <c r="A112" s="236" t="str">
        <f t="shared" si="64"/>
        <v>o</v>
      </c>
      <c r="B112" s="180">
        <v>6417</v>
      </c>
      <c r="C112" s="180" t="s">
        <v>89</v>
      </c>
      <c r="D112" s="261"/>
      <c r="E112" s="261"/>
      <c r="F112" s="244">
        <f t="shared" si="74"/>
        <v>0</v>
      </c>
      <c r="G112" s="244">
        <f t="shared" si="75"/>
        <v>0</v>
      </c>
      <c r="H112" s="244">
        <f t="shared" si="76"/>
        <v>0</v>
      </c>
      <c r="I112" s="244">
        <f t="shared" si="77"/>
        <v>0</v>
      </c>
      <c r="L112" s="127"/>
      <c r="M112" s="127"/>
      <c r="N112" s="241"/>
      <c r="O112" s="241"/>
    </row>
    <row r="113" spans="1:15" ht="21.95" customHeight="1">
      <c r="A113" s="236" t="str">
        <f t="shared" si="64"/>
        <v>o</v>
      </c>
      <c r="B113" s="180">
        <v>6418</v>
      </c>
      <c r="C113" s="180" t="s">
        <v>90</v>
      </c>
      <c r="D113" s="261"/>
      <c r="E113" s="261"/>
      <c r="F113" s="244">
        <f t="shared" si="74"/>
        <v>0</v>
      </c>
      <c r="G113" s="244">
        <f t="shared" si="75"/>
        <v>0</v>
      </c>
      <c r="H113" s="244">
        <f t="shared" si="76"/>
        <v>0</v>
      </c>
      <c r="I113" s="244">
        <f t="shared" si="77"/>
        <v>0</v>
      </c>
      <c r="L113" s="127"/>
      <c r="M113" s="127"/>
      <c r="N113" s="241"/>
      <c r="O113" s="241"/>
    </row>
    <row r="114" spans="1:15" ht="21.95" customHeight="1">
      <c r="A114" s="236" t="str">
        <f t="shared" si="64"/>
        <v>o</v>
      </c>
      <c r="B114" s="181" t="s">
        <v>40</v>
      </c>
      <c r="C114" s="181" t="s">
        <v>98</v>
      </c>
      <c r="D114" s="261"/>
      <c r="E114" s="261"/>
      <c r="F114" s="250">
        <f>SUBTOTAL(9,F115:F122)</f>
        <v>0</v>
      </c>
      <c r="G114" s="250">
        <f>SUBTOTAL(9,G115:G122)</f>
        <v>0</v>
      </c>
      <c r="H114" s="250">
        <f>SUBTOTAL(9,H115:H122)</f>
        <v>0</v>
      </c>
      <c r="I114" s="250">
        <f>SUBTOTAL(9,I115:I122)</f>
        <v>0</v>
      </c>
      <c r="L114" s="127"/>
      <c r="M114" s="127"/>
      <c r="N114" s="241"/>
      <c r="O114" s="241"/>
    </row>
    <row r="115" spans="1:15" ht="21.95" customHeight="1">
      <c r="A115" s="236" t="str">
        <f t="shared" si="64"/>
        <v>o</v>
      </c>
      <c r="B115" s="180">
        <v>6421</v>
      </c>
      <c r="C115" s="180" t="s">
        <v>99</v>
      </c>
      <c r="D115" s="261"/>
      <c r="E115" s="261"/>
      <c r="F115" s="244">
        <f t="shared" ref="F115:F123" si="78">SUMIF(nhatky_tkno,B115,nhatky_sotien)</f>
        <v>0</v>
      </c>
      <c r="G115" s="244">
        <f t="shared" ref="G115:G123" si="79">SUMIF(nhatky_tkco,B115,nhatky_sotien)</f>
        <v>0</v>
      </c>
      <c r="H115" s="244">
        <f t="shared" ref="H115:H123" si="80">MAX(D115+F115-E115-G115,0)</f>
        <v>0</v>
      </c>
      <c r="I115" s="244">
        <f t="shared" ref="I115:I123" si="81">MAX(E115+G115-D115-F115,0)</f>
        <v>0</v>
      </c>
      <c r="L115" s="127"/>
      <c r="M115" s="127"/>
      <c r="N115" s="241"/>
      <c r="O115" s="241"/>
    </row>
    <row r="116" spans="1:15" ht="21.95" customHeight="1">
      <c r="A116" s="236" t="str">
        <f t="shared" si="64"/>
        <v>o</v>
      </c>
      <c r="B116" s="180">
        <v>6422</v>
      </c>
      <c r="C116" s="180" t="s">
        <v>100</v>
      </c>
      <c r="D116" s="261"/>
      <c r="E116" s="261"/>
      <c r="F116" s="244">
        <f t="shared" si="78"/>
        <v>0</v>
      </c>
      <c r="G116" s="244">
        <f t="shared" si="79"/>
        <v>0</v>
      </c>
      <c r="H116" s="244">
        <f t="shared" si="80"/>
        <v>0</v>
      </c>
      <c r="I116" s="244">
        <f t="shared" si="81"/>
        <v>0</v>
      </c>
      <c r="L116" s="127"/>
      <c r="M116" s="127"/>
      <c r="N116" s="241"/>
      <c r="O116" s="241"/>
    </row>
    <row r="117" spans="1:15" ht="21.95" customHeight="1">
      <c r="A117" s="236" t="str">
        <f t="shared" si="64"/>
        <v>o</v>
      </c>
      <c r="B117" s="180">
        <v>6423</v>
      </c>
      <c r="C117" s="180" t="s">
        <v>101</v>
      </c>
      <c r="D117" s="261"/>
      <c r="E117" s="261"/>
      <c r="F117" s="244">
        <f t="shared" si="78"/>
        <v>0</v>
      </c>
      <c r="G117" s="244">
        <f t="shared" si="79"/>
        <v>0</v>
      </c>
      <c r="H117" s="244">
        <f t="shared" si="80"/>
        <v>0</v>
      </c>
      <c r="I117" s="244">
        <f t="shared" si="81"/>
        <v>0</v>
      </c>
      <c r="L117" s="127"/>
      <c r="M117" s="127"/>
      <c r="N117" s="241"/>
      <c r="O117" s="241"/>
    </row>
    <row r="118" spans="1:15" ht="21.95" customHeight="1">
      <c r="A118" s="236" t="str">
        <f t="shared" si="64"/>
        <v>o</v>
      </c>
      <c r="B118" s="180">
        <v>6424</v>
      </c>
      <c r="C118" s="180" t="s">
        <v>88</v>
      </c>
      <c r="D118" s="261"/>
      <c r="E118" s="261"/>
      <c r="F118" s="244">
        <f t="shared" si="78"/>
        <v>0</v>
      </c>
      <c r="G118" s="244">
        <f t="shared" si="79"/>
        <v>0</v>
      </c>
      <c r="H118" s="244">
        <f t="shared" si="80"/>
        <v>0</v>
      </c>
      <c r="I118" s="244">
        <f t="shared" si="81"/>
        <v>0</v>
      </c>
      <c r="L118" s="127"/>
      <c r="M118" s="127"/>
      <c r="N118" s="241"/>
      <c r="O118" s="241"/>
    </row>
    <row r="119" spans="1:15" ht="21.95" customHeight="1">
      <c r="A119" s="236" t="str">
        <f t="shared" si="64"/>
        <v>o</v>
      </c>
      <c r="B119" s="180">
        <v>6425</v>
      </c>
      <c r="C119" s="180" t="s">
        <v>102</v>
      </c>
      <c r="D119" s="261"/>
      <c r="E119" s="261"/>
      <c r="F119" s="244">
        <f t="shared" si="78"/>
        <v>0</v>
      </c>
      <c r="G119" s="244">
        <f t="shared" si="79"/>
        <v>0</v>
      </c>
      <c r="H119" s="244">
        <f t="shared" si="80"/>
        <v>0</v>
      </c>
      <c r="I119" s="244">
        <f t="shared" si="81"/>
        <v>0</v>
      </c>
      <c r="L119" s="127"/>
      <c r="M119" s="127"/>
      <c r="N119" s="241"/>
      <c r="O119" s="241"/>
    </row>
    <row r="120" spans="1:15" ht="21.95" customHeight="1">
      <c r="A120" s="236" t="str">
        <f t="shared" si="64"/>
        <v>o</v>
      </c>
      <c r="B120" s="180">
        <v>6426</v>
      </c>
      <c r="C120" s="180" t="s">
        <v>103</v>
      </c>
      <c r="D120" s="261"/>
      <c r="E120" s="261"/>
      <c r="F120" s="244">
        <f t="shared" si="78"/>
        <v>0</v>
      </c>
      <c r="G120" s="244">
        <f t="shared" si="79"/>
        <v>0</v>
      </c>
      <c r="H120" s="244">
        <f t="shared" si="80"/>
        <v>0</v>
      </c>
      <c r="I120" s="244">
        <f t="shared" si="81"/>
        <v>0</v>
      </c>
      <c r="L120" s="127"/>
      <c r="M120" s="127"/>
      <c r="N120" s="241"/>
      <c r="O120" s="241"/>
    </row>
    <row r="121" spans="1:15" ht="21.95" customHeight="1">
      <c r="A121" s="236" t="str">
        <f t="shared" si="64"/>
        <v>o</v>
      </c>
      <c r="B121" s="180">
        <v>6427</v>
      </c>
      <c r="C121" s="180" t="s">
        <v>89</v>
      </c>
      <c r="D121" s="261"/>
      <c r="E121" s="261"/>
      <c r="F121" s="244">
        <f t="shared" si="78"/>
        <v>0</v>
      </c>
      <c r="G121" s="244">
        <f t="shared" si="79"/>
        <v>0</v>
      </c>
      <c r="H121" s="244">
        <f t="shared" si="80"/>
        <v>0</v>
      </c>
      <c r="I121" s="244">
        <f t="shared" si="81"/>
        <v>0</v>
      </c>
      <c r="L121" s="127"/>
      <c r="M121" s="127"/>
      <c r="N121" s="241"/>
      <c r="O121" s="241"/>
    </row>
    <row r="122" spans="1:15" ht="21.95" customHeight="1">
      <c r="A122" s="236" t="str">
        <f>IF(SUM(D122:I122)&lt;&gt;0,"1","o")</f>
        <v>o</v>
      </c>
      <c r="B122" s="180">
        <v>6428</v>
      </c>
      <c r="C122" s="180" t="s">
        <v>90</v>
      </c>
      <c r="D122" s="261"/>
      <c r="E122" s="261"/>
      <c r="F122" s="244">
        <f t="shared" si="78"/>
        <v>0</v>
      </c>
      <c r="G122" s="244">
        <f t="shared" si="79"/>
        <v>0</v>
      </c>
      <c r="H122" s="244">
        <f t="shared" si="80"/>
        <v>0</v>
      </c>
      <c r="I122" s="244">
        <f t="shared" si="81"/>
        <v>0</v>
      </c>
      <c r="L122" s="127"/>
      <c r="M122" s="127"/>
      <c r="N122" s="241"/>
      <c r="O122" s="241"/>
    </row>
    <row r="123" spans="1:15" ht="21.95" customHeight="1">
      <c r="A123" s="236" t="str">
        <f t="shared" ref="A123:A132" si="82">IF(SUM(D123:I123)&lt;&gt;0,"1","o")</f>
        <v>o</v>
      </c>
      <c r="B123" s="181" t="s">
        <v>105</v>
      </c>
      <c r="C123" s="181" t="s">
        <v>107</v>
      </c>
      <c r="D123" s="261"/>
      <c r="E123" s="261"/>
      <c r="F123" s="247">
        <f t="shared" si="78"/>
        <v>0</v>
      </c>
      <c r="G123" s="247">
        <f t="shared" si="79"/>
        <v>0</v>
      </c>
      <c r="H123" s="247">
        <f t="shared" si="80"/>
        <v>0</v>
      </c>
      <c r="I123" s="247">
        <f t="shared" si="81"/>
        <v>0</v>
      </c>
      <c r="L123" s="127"/>
      <c r="M123" s="127"/>
      <c r="N123" s="241"/>
      <c r="O123" s="241"/>
    </row>
    <row r="124" spans="1:15" ht="21.95" customHeight="1">
      <c r="A124" s="236" t="str">
        <f t="shared" si="82"/>
        <v>o</v>
      </c>
      <c r="B124" s="181" t="s">
        <v>106</v>
      </c>
      <c r="C124" s="181" t="s">
        <v>108</v>
      </c>
      <c r="D124" s="261"/>
      <c r="E124" s="261"/>
      <c r="F124" s="257">
        <f>SUBTOTAL(9,F125:F126)</f>
        <v>0</v>
      </c>
      <c r="G124" s="257">
        <f t="shared" ref="G124:I124" si="83">SUBTOTAL(9,G125:G126)</f>
        <v>0</v>
      </c>
      <c r="H124" s="257">
        <f t="shared" si="83"/>
        <v>0</v>
      </c>
      <c r="I124" s="257">
        <f t="shared" si="83"/>
        <v>0</v>
      </c>
      <c r="L124" s="127"/>
      <c r="M124" s="127"/>
      <c r="N124" s="241"/>
      <c r="O124" s="241"/>
    </row>
    <row r="125" spans="1:15" ht="21.95" customHeight="1">
      <c r="A125" s="236" t="str">
        <f t="shared" si="82"/>
        <v>o</v>
      </c>
      <c r="B125" s="180" t="s">
        <v>269</v>
      </c>
      <c r="C125" s="180" t="s">
        <v>512</v>
      </c>
      <c r="D125" s="261"/>
      <c r="E125" s="261"/>
      <c r="F125" s="244">
        <f>SUMIF(nhatky_tkno,B125,nhatky_sotien)</f>
        <v>0</v>
      </c>
      <c r="G125" s="244">
        <f>SUMIF(nhatky_tkco,B125,nhatky_sotien)</f>
        <v>0</v>
      </c>
      <c r="H125" s="244">
        <f>MAX(D125+F125-E125-G125,0)</f>
        <v>0</v>
      </c>
      <c r="I125" s="244">
        <f>MAX(E125+G125-D125-F125,0)</f>
        <v>0</v>
      </c>
      <c r="L125" s="127"/>
      <c r="M125" s="127"/>
      <c r="N125" s="241"/>
      <c r="O125" s="241"/>
    </row>
    <row r="126" spans="1:15" ht="21.95" customHeight="1">
      <c r="A126" s="236" t="str">
        <f t="shared" si="82"/>
        <v>o</v>
      </c>
      <c r="B126" s="180" t="s">
        <v>270</v>
      </c>
      <c r="C126" s="180" t="s">
        <v>370</v>
      </c>
      <c r="D126" s="261"/>
      <c r="E126" s="261"/>
      <c r="F126" s="244">
        <f>SUMIF(nhatky_tkno,B126,nhatky_sotien)</f>
        <v>0</v>
      </c>
      <c r="G126" s="244">
        <f>SUMIF(nhatky_tkco,B126,nhatky_sotien)</f>
        <v>0</v>
      </c>
      <c r="H126" s="244">
        <f>MAX(D126+F126-E126-G126,0)</f>
        <v>0</v>
      </c>
      <c r="I126" s="244">
        <f>MAX(E126+G126-D126-F126,0)</f>
        <v>0</v>
      </c>
      <c r="L126" s="127"/>
      <c r="M126" s="127"/>
      <c r="N126" s="241"/>
      <c r="O126" s="241"/>
    </row>
    <row r="127" spans="1:15" ht="21.95" customHeight="1">
      <c r="A127" s="236" t="str">
        <f t="shared" si="82"/>
        <v>o</v>
      </c>
      <c r="B127" s="181" t="s">
        <v>112</v>
      </c>
      <c r="C127" s="181" t="s">
        <v>109</v>
      </c>
      <c r="D127" s="261"/>
      <c r="E127" s="261"/>
      <c r="F127" s="257">
        <f>SUBTOTAL(9,F128:F129)</f>
        <v>0</v>
      </c>
      <c r="G127" s="257">
        <f>SUBTOTAL(9,G128:G129)</f>
        <v>0</v>
      </c>
      <c r="H127" s="257">
        <f>SUBTOTAL(9,H128:H129)</f>
        <v>0</v>
      </c>
      <c r="I127" s="257">
        <f>SUBTOTAL(9,I128:I129)</f>
        <v>0</v>
      </c>
      <c r="L127" s="127"/>
      <c r="M127" s="127"/>
      <c r="N127" s="241"/>
      <c r="O127" s="241"/>
    </row>
    <row r="128" spans="1:15" ht="21.95" customHeight="1">
      <c r="A128" s="236" t="str">
        <f t="shared" si="82"/>
        <v>o</v>
      </c>
      <c r="B128" s="180" t="s">
        <v>113</v>
      </c>
      <c r="C128" s="180" t="s">
        <v>110</v>
      </c>
      <c r="D128" s="261"/>
      <c r="E128" s="261"/>
      <c r="F128" s="244">
        <f>SUMIF(nhatky_tkno,B128,nhatky_sotien)</f>
        <v>0</v>
      </c>
      <c r="G128" s="244">
        <f>SUMIF(nhatky_tkco,B128,nhatky_sotien)</f>
        <v>0</v>
      </c>
      <c r="H128" s="244">
        <f>MAX(D128+F128-E128-G128,0)</f>
        <v>0</v>
      </c>
      <c r="I128" s="244">
        <f>MAX(E128+G128-D128-F128,0)</f>
        <v>0</v>
      </c>
      <c r="L128" s="127"/>
      <c r="M128" s="127"/>
      <c r="N128" s="241"/>
      <c r="O128" s="241"/>
    </row>
    <row r="129" spans="1:15" ht="21.95" customHeight="1">
      <c r="A129" s="236" t="str">
        <f t="shared" si="82"/>
        <v>o</v>
      </c>
      <c r="B129" s="180" t="s">
        <v>114</v>
      </c>
      <c r="C129" s="180" t="s">
        <v>111</v>
      </c>
      <c r="D129" s="261"/>
      <c r="E129" s="261"/>
      <c r="F129" s="244">
        <f>SUMIF(nhatky_tkno,B129,nhatky_sotien)</f>
        <v>0</v>
      </c>
      <c r="G129" s="244">
        <f>SUMIF(nhatky_tkco,B129,nhatky_sotien)</f>
        <v>0</v>
      </c>
      <c r="H129" s="244">
        <f>MAX(D129+F129-E129-G129,0)</f>
        <v>0</v>
      </c>
      <c r="I129" s="244">
        <f>MAX(E129+G129-D129-F129,0)</f>
        <v>0</v>
      </c>
      <c r="L129" s="127"/>
      <c r="M129" s="127"/>
      <c r="N129" s="241"/>
      <c r="O129" s="241"/>
    </row>
    <row r="130" spans="1:15" ht="21.95" customHeight="1">
      <c r="A130" s="236" t="str">
        <f t="shared" si="82"/>
        <v>o</v>
      </c>
      <c r="B130" s="181" t="s">
        <v>41</v>
      </c>
      <c r="C130" s="181" t="s">
        <v>115</v>
      </c>
      <c r="D130" s="261"/>
      <c r="E130" s="261"/>
      <c r="F130" s="247">
        <f>SUMIF(nhatky_tkno,B130,nhatky_sotien)</f>
        <v>0</v>
      </c>
      <c r="G130" s="247">
        <f>SUMIF(nhatky_tkco,B130,nhatky_sotien)</f>
        <v>0</v>
      </c>
      <c r="H130" s="247">
        <f>MAX(D130+F130-E130-G130,0)</f>
        <v>0</v>
      </c>
      <c r="I130" s="247">
        <f>MAX(E130+G130-D130-F130,0)</f>
        <v>0</v>
      </c>
      <c r="L130" s="127"/>
      <c r="M130" s="127"/>
      <c r="N130" s="241"/>
      <c r="O130" s="241"/>
    </row>
    <row r="131" spans="1:15" ht="21.95" customHeight="1">
      <c r="A131" s="236" t="str">
        <f t="shared" si="82"/>
        <v>o</v>
      </c>
      <c r="B131" s="273"/>
      <c r="C131" s="273"/>
      <c r="D131" s="274"/>
      <c r="E131" s="274"/>
      <c r="F131" s="275"/>
      <c r="G131" s="275"/>
      <c r="H131" s="275"/>
      <c r="I131" s="275"/>
      <c r="L131" s="127"/>
      <c r="M131" s="127"/>
      <c r="N131" s="241"/>
      <c r="O131" s="241"/>
    </row>
    <row r="132" spans="1:15" ht="21.95" customHeight="1">
      <c r="A132" s="236" t="str">
        <f t="shared" si="82"/>
        <v>1</v>
      </c>
      <c r="B132" s="276"/>
      <c r="C132" s="276" t="s">
        <v>199</v>
      </c>
      <c r="D132" s="277">
        <f t="shared" ref="D132:I132" si="84">SUBTOTAL(9,D8:D131)</f>
        <v>19460000000</v>
      </c>
      <c r="E132" s="277">
        <f t="shared" si="84"/>
        <v>19460000000</v>
      </c>
      <c r="F132" s="277">
        <f t="shared" si="84"/>
        <v>0</v>
      </c>
      <c r="G132" s="277">
        <f t="shared" si="84"/>
        <v>0</v>
      </c>
      <c r="H132" s="277">
        <f t="shared" si="84"/>
        <v>19460000000</v>
      </c>
      <c r="I132" s="277">
        <f t="shared" si="84"/>
        <v>19460000000</v>
      </c>
      <c r="L132" s="127"/>
      <c r="M132" s="127"/>
      <c r="N132" s="241"/>
      <c r="O132" s="241"/>
    </row>
    <row r="133" spans="1:15" ht="21.95" customHeight="1">
      <c r="D133" s="278"/>
      <c r="E133" s="278">
        <f>D132-E132</f>
        <v>0</v>
      </c>
      <c r="F133" s="278"/>
      <c r="G133" s="278">
        <f>F132-G132</f>
        <v>0</v>
      </c>
      <c r="H133" s="278"/>
      <c r="I133" s="278">
        <f>H132-I132</f>
        <v>0</v>
      </c>
    </row>
    <row r="134" spans="1:15" ht="21.95" customHeight="1">
      <c r="C134" s="86"/>
      <c r="D134" s="131"/>
      <c r="F134" s="121"/>
      <c r="H134" s="218" t="str">
        <f>Ttin!C6</f>
        <v>Ngày 31/05/2024</v>
      </c>
    </row>
    <row r="135" spans="1:15" ht="21.95" customHeight="1">
      <c r="C135" s="86" t="s">
        <v>397</v>
      </c>
      <c r="D135" s="128"/>
      <c r="E135" s="214" t="s">
        <v>192</v>
      </c>
      <c r="F135" s="214"/>
      <c r="H135" s="214" t="s">
        <v>193</v>
      </c>
    </row>
    <row r="136" spans="1:15" ht="21.95" customHeight="1">
      <c r="C136" s="88"/>
      <c r="G136" s="279"/>
    </row>
    <row r="137" spans="1:15" ht="21.95" customHeight="1">
      <c r="C137" s="88"/>
      <c r="G137" s="279"/>
    </row>
    <row r="138" spans="1:15" ht="21.95" customHeight="1">
      <c r="C138" s="90"/>
      <c r="E138" s="280"/>
      <c r="G138" s="281"/>
      <c r="H138" s="280"/>
    </row>
    <row r="139" spans="1:15" ht="21.95" customHeight="1">
      <c r="C139" s="86" t="str">
        <f>Ttin!C10</f>
        <v>Bùi Ngọc Thủy Tiên</v>
      </c>
      <c r="E139" s="122" t="str">
        <f>Ttin!C9</f>
        <v>Lâm Văn Bền</v>
      </c>
      <c r="F139" s="282"/>
      <c r="G139" s="283"/>
      <c r="H139" s="86" t="str">
        <f>Ttin!C8</f>
        <v>Hồ Ngọc Linh</v>
      </c>
    </row>
  </sheetData>
  <sheetProtection formatCells="0" formatColumns="0" formatRows="0" insertColumns="0" insertRows="0" deleteColumns="0" deleteRows="0" autoFilter="0"/>
  <autoFilter ref="A7:I135" xr:uid="{00000000-0009-0000-0000-000005000000}"/>
  <phoneticPr fontId="2" type="noConversion"/>
  <printOptions horizontalCentered="1"/>
  <pageMargins left="0" right="0" top="0.19685039370078741" bottom="0.19685039370078741" header="0.15748031496062992" footer="0.15748031496062992"/>
  <pageSetup paperSize="9" scale="58" fitToHeight="2" orientation="portrait" r:id="rId1"/>
  <headerFooter alignWithMargins="0">
    <oddFooter>&amp;C&amp;9Trang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B050"/>
    <pageSetUpPr fitToPage="1"/>
  </sheetPr>
  <dimension ref="B1:I138"/>
  <sheetViews>
    <sheetView showZeros="0" topLeftCell="A117" zoomScaleNormal="100" workbookViewId="0">
      <selection activeCell="E124" sqref="E124"/>
    </sheetView>
  </sheetViews>
  <sheetFormatPr defaultColWidth="9" defaultRowHeight="15.75"/>
  <cols>
    <col min="1" max="1" width="9" style="1"/>
    <col min="2" max="2" width="54.88671875" style="1" customWidth="1"/>
    <col min="3" max="3" width="7.6640625" style="1" customWidth="1"/>
    <col min="4" max="4" width="8.44140625" style="1" customWidth="1"/>
    <col min="5" max="5" width="17" style="1" customWidth="1"/>
    <col min="6" max="6" width="17.33203125" style="1" customWidth="1"/>
    <col min="7" max="7" width="3.109375" style="1" customWidth="1"/>
    <col min="8" max="8" width="16.33203125" style="1" customWidth="1"/>
    <col min="9" max="9" width="12.33203125" style="1" bestFit="1" customWidth="1"/>
    <col min="10" max="16384" width="9" style="1"/>
  </cols>
  <sheetData>
    <row r="1" spans="2:8" ht="18.75" customHeight="1">
      <c r="B1" s="4" t="str">
        <f>Ttin!C2</f>
        <v>Công ty Cổ phần Sản xuất Thương mại APEC</v>
      </c>
      <c r="C1" s="5"/>
      <c r="E1" s="6" t="s">
        <v>118</v>
      </c>
      <c r="F1" s="7"/>
    </row>
    <row r="2" spans="2:8" ht="18.75" customHeight="1">
      <c r="B2" s="8" t="str">
        <f>Ttin!C3</f>
        <v>32 đường số 7, Phường Bình Hưng Hòa, Quận Bình Tân, TP Hồ Chí Minh</v>
      </c>
      <c r="C2" s="5"/>
      <c r="E2" s="9" t="s">
        <v>305</v>
      </c>
      <c r="F2" s="10"/>
    </row>
    <row r="3" spans="2:8">
      <c r="C3" s="5"/>
      <c r="E3" s="9" t="s">
        <v>306</v>
      </c>
      <c r="F3" s="10"/>
    </row>
    <row r="4" spans="2:8" ht="27" customHeight="1">
      <c r="B4" s="11" t="s">
        <v>119</v>
      </c>
      <c r="C4" s="7"/>
      <c r="D4" s="7"/>
      <c r="E4" s="7"/>
      <c r="F4" s="7"/>
    </row>
    <row r="5" spans="2:8" ht="20.25" customHeight="1">
      <c r="B5" s="12" t="str">
        <f>"Tại "&amp;Ttin!C6</f>
        <v>Tại Ngày 31/05/2024</v>
      </c>
      <c r="C5" s="7"/>
      <c r="D5" s="7"/>
      <c r="E5" s="7"/>
      <c r="F5" s="7"/>
    </row>
    <row r="6" spans="2:8" ht="16.5" thickBot="1">
      <c r="B6" s="13"/>
      <c r="F6" s="14" t="s">
        <v>190</v>
      </c>
    </row>
    <row r="7" spans="2:8" ht="31.5">
      <c r="B7" s="15" t="s">
        <v>32</v>
      </c>
      <c r="C7" s="16" t="s">
        <v>120</v>
      </c>
      <c r="D7" s="17" t="s">
        <v>121</v>
      </c>
      <c r="E7" s="15" t="s">
        <v>122</v>
      </c>
      <c r="F7" s="16" t="s">
        <v>531</v>
      </c>
    </row>
    <row r="8" spans="2:8" ht="16.5" thickBot="1">
      <c r="B8" s="18">
        <v>1</v>
      </c>
      <c r="C8" s="19">
        <v>2</v>
      </c>
      <c r="D8" s="19">
        <v>3</v>
      </c>
      <c r="E8" s="19">
        <v>4</v>
      </c>
      <c r="F8" s="19">
        <v>5</v>
      </c>
    </row>
    <row r="9" spans="2:8" ht="18" customHeight="1">
      <c r="B9" s="20"/>
      <c r="C9" s="21"/>
      <c r="D9" s="22"/>
      <c r="E9" s="23"/>
      <c r="F9" s="24"/>
    </row>
    <row r="10" spans="2:8" ht="18" customHeight="1">
      <c r="B10" s="25" t="s">
        <v>123</v>
      </c>
      <c r="C10" s="26">
        <v>100</v>
      </c>
      <c r="D10" s="27"/>
      <c r="E10" s="28"/>
      <c r="F10" s="28"/>
      <c r="H10" s="3"/>
    </row>
    <row r="11" spans="2:8" ht="18" customHeight="1">
      <c r="B11" s="25" t="s">
        <v>377</v>
      </c>
      <c r="C11" s="26">
        <v>110</v>
      </c>
      <c r="D11" s="26"/>
      <c r="E11" s="29"/>
      <c r="F11" s="29"/>
      <c r="H11" s="3"/>
    </row>
    <row r="12" spans="2:8" ht="18" customHeight="1">
      <c r="B12" s="30" t="s">
        <v>378</v>
      </c>
      <c r="C12" s="31">
        <v>111</v>
      </c>
      <c r="D12" s="31"/>
      <c r="E12" s="32"/>
      <c r="F12" s="32"/>
      <c r="H12" s="3"/>
    </row>
    <row r="13" spans="2:8" ht="18" customHeight="1">
      <c r="B13" s="30" t="s">
        <v>124</v>
      </c>
      <c r="C13" s="31">
        <v>112</v>
      </c>
      <c r="D13" s="31"/>
      <c r="E13" s="32"/>
      <c r="F13" s="32"/>
      <c r="H13" s="3"/>
    </row>
    <row r="14" spans="2:8" ht="18" customHeight="1">
      <c r="B14" s="25" t="s">
        <v>272</v>
      </c>
      <c r="C14" s="26">
        <v>120</v>
      </c>
      <c r="D14" s="31"/>
      <c r="E14" s="29"/>
      <c r="F14" s="29"/>
      <c r="H14" s="3"/>
    </row>
    <row r="15" spans="2:8" ht="18" customHeight="1">
      <c r="B15" s="30" t="s">
        <v>308</v>
      </c>
      <c r="C15" s="31">
        <v>121</v>
      </c>
      <c r="D15" s="31"/>
      <c r="E15" s="32"/>
      <c r="F15" s="32"/>
      <c r="H15" s="3"/>
    </row>
    <row r="16" spans="2:8" ht="18" customHeight="1">
      <c r="B16" s="30" t="s">
        <v>320</v>
      </c>
      <c r="C16" s="31">
        <v>122</v>
      </c>
      <c r="D16" s="31"/>
      <c r="E16" s="32"/>
      <c r="F16" s="32"/>
      <c r="H16" s="3"/>
    </row>
    <row r="17" spans="2:8" ht="18" customHeight="1">
      <c r="B17" s="30" t="s">
        <v>273</v>
      </c>
      <c r="C17" s="31">
        <v>123</v>
      </c>
      <c r="D17" s="31"/>
      <c r="E17" s="32"/>
      <c r="F17" s="32"/>
      <c r="H17" s="3"/>
    </row>
    <row r="18" spans="2:8" ht="18" customHeight="1">
      <c r="B18" s="25" t="s">
        <v>125</v>
      </c>
      <c r="C18" s="26">
        <v>130</v>
      </c>
      <c r="D18" s="26"/>
      <c r="E18" s="29"/>
      <c r="F18" s="29"/>
      <c r="H18" s="3"/>
    </row>
    <row r="19" spans="2:8" ht="18" customHeight="1">
      <c r="B19" s="30" t="s">
        <v>274</v>
      </c>
      <c r="C19" s="31">
        <v>131</v>
      </c>
      <c r="D19" s="31"/>
      <c r="E19" s="32"/>
      <c r="F19" s="32"/>
      <c r="H19" s="3"/>
    </row>
    <row r="20" spans="2:8" ht="18" customHeight="1">
      <c r="B20" s="30" t="s">
        <v>126</v>
      </c>
      <c r="C20" s="31">
        <v>132</v>
      </c>
      <c r="D20" s="31"/>
      <c r="E20" s="32"/>
      <c r="F20" s="32"/>
      <c r="H20" s="3"/>
    </row>
    <row r="21" spans="2:8" ht="18" customHeight="1">
      <c r="B21" s="30" t="s">
        <v>127</v>
      </c>
      <c r="C21" s="31">
        <v>133</v>
      </c>
      <c r="D21" s="31"/>
      <c r="E21" s="32"/>
      <c r="F21" s="32"/>
      <c r="H21" s="3"/>
    </row>
    <row r="22" spans="2:8" ht="18" customHeight="1">
      <c r="B22" s="30" t="s">
        <v>128</v>
      </c>
      <c r="C22" s="31">
        <v>134</v>
      </c>
      <c r="D22" s="31"/>
      <c r="E22" s="32"/>
      <c r="F22" s="32"/>
      <c r="H22" s="3"/>
    </row>
    <row r="23" spans="2:8" ht="18" customHeight="1">
      <c r="B23" s="30" t="s">
        <v>275</v>
      </c>
      <c r="C23" s="31">
        <v>135</v>
      </c>
      <c r="D23" s="31"/>
      <c r="E23" s="32"/>
      <c r="F23" s="32"/>
      <c r="H23" s="3"/>
    </row>
    <row r="24" spans="2:8" ht="18" customHeight="1">
      <c r="B24" s="30" t="s">
        <v>276</v>
      </c>
      <c r="C24" s="31">
        <v>136</v>
      </c>
      <c r="D24" s="31"/>
      <c r="E24" s="32"/>
      <c r="F24" s="32"/>
      <c r="H24" s="3"/>
    </row>
    <row r="25" spans="2:8" ht="18" customHeight="1">
      <c r="B25" s="30" t="s">
        <v>321</v>
      </c>
      <c r="C25" s="31">
        <v>137</v>
      </c>
      <c r="D25" s="31"/>
      <c r="E25" s="32"/>
      <c r="F25" s="32"/>
      <c r="H25" s="3"/>
    </row>
    <row r="26" spans="2:8" ht="18" customHeight="1">
      <c r="B26" s="30" t="s">
        <v>322</v>
      </c>
      <c r="C26" s="31">
        <v>139</v>
      </c>
      <c r="D26" s="31"/>
      <c r="E26" s="32"/>
      <c r="F26" s="32"/>
      <c r="H26" s="3"/>
    </row>
    <row r="27" spans="2:8" ht="18" customHeight="1">
      <c r="B27" s="25" t="s">
        <v>129</v>
      </c>
      <c r="C27" s="26">
        <v>140</v>
      </c>
      <c r="D27" s="31"/>
      <c r="E27" s="29"/>
      <c r="F27" s="29"/>
      <c r="H27" s="3"/>
    </row>
    <row r="28" spans="2:8" ht="18" customHeight="1">
      <c r="B28" s="30" t="s">
        <v>130</v>
      </c>
      <c r="C28" s="31">
        <v>141</v>
      </c>
      <c r="D28" s="31"/>
      <c r="E28" s="32"/>
      <c r="F28" s="32"/>
      <c r="H28" s="3"/>
    </row>
    <row r="29" spans="2:8" ht="18" customHeight="1">
      <c r="B29" s="30" t="s">
        <v>131</v>
      </c>
      <c r="C29" s="31">
        <v>149</v>
      </c>
      <c r="D29" s="31"/>
      <c r="E29" s="32"/>
      <c r="F29" s="32"/>
      <c r="H29" s="3"/>
    </row>
    <row r="30" spans="2:8" ht="18" customHeight="1">
      <c r="B30" s="25" t="s">
        <v>132</v>
      </c>
      <c r="C30" s="26">
        <v>150</v>
      </c>
      <c r="D30" s="26"/>
      <c r="E30" s="29"/>
      <c r="F30" s="29"/>
      <c r="H30" s="3"/>
    </row>
    <row r="31" spans="2:8" ht="18" customHeight="1">
      <c r="B31" s="30" t="s">
        <v>133</v>
      </c>
      <c r="C31" s="31">
        <v>151</v>
      </c>
      <c r="D31" s="31"/>
      <c r="E31" s="32"/>
      <c r="F31" s="32"/>
      <c r="H31" s="3"/>
    </row>
    <row r="32" spans="2:8" ht="18" customHeight="1">
      <c r="B32" s="30" t="s">
        <v>134</v>
      </c>
      <c r="C32" s="31">
        <v>152</v>
      </c>
      <c r="D32" s="31"/>
      <c r="E32" s="32"/>
      <c r="F32" s="32"/>
      <c r="H32" s="3"/>
    </row>
    <row r="33" spans="2:8" ht="18" customHeight="1">
      <c r="B33" s="30" t="s">
        <v>135</v>
      </c>
      <c r="C33" s="31">
        <v>153</v>
      </c>
      <c r="D33" s="31"/>
      <c r="E33" s="32"/>
      <c r="F33" s="32"/>
      <c r="H33" s="3"/>
    </row>
    <row r="34" spans="2:8" ht="18" customHeight="1">
      <c r="B34" s="30" t="s">
        <v>277</v>
      </c>
      <c r="C34" s="31">
        <v>154</v>
      </c>
      <c r="D34" s="31"/>
      <c r="E34" s="32"/>
      <c r="F34" s="32"/>
      <c r="H34" s="3"/>
    </row>
    <row r="35" spans="2:8" ht="18" customHeight="1">
      <c r="B35" s="30" t="s">
        <v>136</v>
      </c>
      <c r="C35" s="31">
        <v>155</v>
      </c>
      <c r="D35" s="31"/>
      <c r="E35" s="32"/>
      <c r="F35" s="32"/>
      <c r="H35" s="3"/>
    </row>
    <row r="36" spans="2:8" ht="18" customHeight="1">
      <c r="B36" s="25" t="s">
        <v>137</v>
      </c>
      <c r="C36" s="26">
        <v>200</v>
      </c>
      <c r="D36" s="27"/>
      <c r="E36" s="29"/>
      <c r="F36" s="29"/>
      <c r="H36" s="3"/>
    </row>
    <row r="37" spans="2:8" ht="18" customHeight="1">
      <c r="B37" s="25" t="s">
        <v>138</v>
      </c>
      <c r="C37" s="26">
        <v>210</v>
      </c>
      <c r="D37" s="26"/>
      <c r="E37" s="29"/>
      <c r="F37" s="29"/>
      <c r="H37" s="3"/>
    </row>
    <row r="38" spans="2:8" ht="18" customHeight="1">
      <c r="B38" s="30" t="s">
        <v>139</v>
      </c>
      <c r="C38" s="31">
        <v>211</v>
      </c>
      <c r="D38" s="31"/>
      <c r="E38" s="32"/>
      <c r="F38" s="32"/>
      <c r="H38" s="3"/>
    </row>
    <row r="39" spans="2:8" ht="18" customHeight="1">
      <c r="B39" s="30" t="s">
        <v>323</v>
      </c>
      <c r="C39" s="31">
        <v>212</v>
      </c>
      <c r="D39" s="31"/>
      <c r="E39" s="32"/>
      <c r="F39" s="32"/>
      <c r="H39" s="3"/>
    </row>
    <row r="40" spans="2:8" ht="18" customHeight="1">
      <c r="B40" s="30" t="s">
        <v>324</v>
      </c>
      <c r="C40" s="31">
        <v>213</v>
      </c>
      <c r="D40" s="31"/>
      <c r="E40" s="32"/>
      <c r="F40" s="32"/>
      <c r="H40" s="3"/>
    </row>
    <row r="41" spans="2:8" ht="18" customHeight="1">
      <c r="B41" s="30" t="s">
        <v>325</v>
      </c>
      <c r="C41" s="31">
        <v>214</v>
      </c>
      <c r="D41" s="31"/>
      <c r="E41" s="32"/>
      <c r="F41" s="32"/>
      <c r="H41" s="3"/>
    </row>
    <row r="42" spans="2:8" ht="18" customHeight="1">
      <c r="B42" s="30" t="s">
        <v>326</v>
      </c>
      <c r="C42" s="31">
        <v>215</v>
      </c>
      <c r="D42" s="31"/>
      <c r="E42" s="32"/>
      <c r="F42" s="32"/>
      <c r="H42" s="3"/>
    </row>
    <row r="43" spans="2:8" ht="18" customHeight="1">
      <c r="B43" s="30" t="s">
        <v>327</v>
      </c>
      <c r="C43" s="31">
        <v>216</v>
      </c>
      <c r="D43" s="31"/>
      <c r="E43" s="32"/>
      <c r="F43" s="32"/>
      <c r="H43" s="3"/>
    </row>
    <row r="44" spans="2:8" ht="18" customHeight="1">
      <c r="B44" s="30" t="s">
        <v>328</v>
      </c>
      <c r="C44" s="31">
        <v>219</v>
      </c>
      <c r="D44" s="31"/>
      <c r="E44" s="32"/>
      <c r="F44" s="32"/>
      <c r="H44" s="3"/>
    </row>
    <row r="45" spans="2:8" ht="18" customHeight="1">
      <c r="B45" s="25" t="s">
        <v>140</v>
      </c>
      <c r="C45" s="26">
        <v>220</v>
      </c>
      <c r="D45" s="26"/>
      <c r="E45" s="29"/>
      <c r="F45" s="29"/>
      <c r="H45" s="3"/>
    </row>
    <row r="46" spans="2:8" ht="18" customHeight="1">
      <c r="B46" s="30" t="s">
        <v>141</v>
      </c>
      <c r="C46" s="31">
        <v>221</v>
      </c>
      <c r="D46" s="31"/>
      <c r="E46" s="32"/>
      <c r="F46" s="32"/>
      <c r="H46" s="3"/>
    </row>
    <row r="47" spans="2:8" ht="18" customHeight="1">
      <c r="B47" s="30" t="s">
        <v>142</v>
      </c>
      <c r="C47" s="31">
        <v>222</v>
      </c>
      <c r="D47" s="31"/>
      <c r="E47" s="32"/>
      <c r="F47" s="32"/>
      <c r="H47" s="3"/>
    </row>
    <row r="48" spans="2:8" ht="18" customHeight="1">
      <c r="B48" s="30" t="s">
        <v>143</v>
      </c>
      <c r="C48" s="31">
        <v>223</v>
      </c>
      <c r="D48" s="31"/>
      <c r="E48" s="33"/>
      <c r="F48" s="33"/>
      <c r="H48" s="3"/>
    </row>
    <row r="49" spans="2:8" ht="18" customHeight="1">
      <c r="B49" s="30" t="s">
        <v>144</v>
      </c>
      <c r="C49" s="31">
        <v>224</v>
      </c>
      <c r="D49" s="31"/>
      <c r="E49" s="32"/>
      <c r="F49" s="32"/>
      <c r="H49" s="3"/>
    </row>
    <row r="50" spans="2:8" ht="18" customHeight="1">
      <c r="B50" s="30" t="s">
        <v>142</v>
      </c>
      <c r="C50" s="31">
        <v>225</v>
      </c>
      <c r="D50" s="31"/>
      <c r="E50" s="32"/>
      <c r="F50" s="32"/>
      <c r="H50" s="3"/>
    </row>
    <row r="51" spans="2:8" ht="18" customHeight="1">
      <c r="B51" s="30" t="s">
        <v>143</v>
      </c>
      <c r="C51" s="31">
        <v>226</v>
      </c>
      <c r="D51" s="31"/>
      <c r="E51" s="32"/>
      <c r="F51" s="32"/>
      <c r="H51" s="3"/>
    </row>
    <row r="52" spans="2:8" ht="18" customHeight="1">
      <c r="B52" s="30" t="s">
        <v>145</v>
      </c>
      <c r="C52" s="31">
        <v>227</v>
      </c>
      <c r="D52" s="31"/>
      <c r="E52" s="32"/>
      <c r="F52" s="32"/>
      <c r="H52" s="3"/>
    </row>
    <row r="53" spans="2:8" ht="18" customHeight="1">
      <c r="B53" s="30" t="s">
        <v>142</v>
      </c>
      <c r="C53" s="31">
        <v>228</v>
      </c>
      <c r="D53" s="31"/>
      <c r="E53" s="32"/>
      <c r="F53" s="32"/>
      <c r="H53" s="3"/>
    </row>
    <row r="54" spans="2:8" ht="18" customHeight="1">
      <c r="B54" s="30" t="s">
        <v>143</v>
      </c>
      <c r="C54" s="31">
        <v>229</v>
      </c>
      <c r="D54" s="31"/>
      <c r="E54" s="33"/>
      <c r="F54" s="33"/>
      <c r="H54" s="3"/>
    </row>
    <row r="55" spans="2:8" ht="18" customHeight="1">
      <c r="B55" s="25" t="s">
        <v>146</v>
      </c>
      <c r="C55" s="26">
        <v>230</v>
      </c>
      <c r="D55" s="31"/>
      <c r="E55" s="34"/>
      <c r="F55" s="34"/>
      <c r="H55" s="3"/>
    </row>
    <row r="56" spans="2:8" ht="18" customHeight="1">
      <c r="B56" s="30" t="s">
        <v>142</v>
      </c>
      <c r="C56" s="31">
        <v>231</v>
      </c>
      <c r="D56" s="26"/>
      <c r="E56" s="32"/>
      <c r="F56" s="32"/>
      <c r="H56" s="3"/>
    </row>
    <row r="57" spans="2:8" ht="18" customHeight="1">
      <c r="B57" s="30" t="s">
        <v>143</v>
      </c>
      <c r="C57" s="31">
        <v>232</v>
      </c>
      <c r="D57" s="31"/>
      <c r="E57" s="33"/>
      <c r="F57" s="33"/>
      <c r="H57" s="3"/>
    </row>
    <row r="58" spans="2:8" ht="18" customHeight="1">
      <c r="B58" s="25" t="s">
        <v>278</v>
      </c>
      <c r="C58" s="26">
        <v>240</v>
      </c>
      <c r="D58" s="31"/>
      <c r="E58" s="29"/>
      <c r="F58" s="29"/>
      <c r="H58" s="3"/>
    </row>
    <row r="59" spans="2:8" ht="18" customHeight="1">
      <c r="B59" s="30" t="s">
        <v>309</v>
      </c>
      <c r="C59" s="31">
        <v>241</v>
      </c>
      <c r="D59" s="26"/>
      <c r="E59" s="29"/>
      <c r="F59" s="29"/>
      <c r="H59" s="3"/>
    </row>
    <row r="60" spans="2:8" ht="18" customHeight="1">
      <c r="B60" s="30" t="s">
        <v>279</v>
      </c>
      <c r="C60" s="31">
        <v>242</v>
      </c>
      <c r="D60" s="31"/>
      <c r="E60" s="32"/>
      <c r="F60" s="32"/>
      <c r="H60" s="3"/>
    </row>
    <row r="61" spans="2:8" ht="18" customHeight="1">
      <c r="B61" s="25" t="s">
        <v>280</v>
      </c>
      <c r="C61" s="26">
        <v>250</v>
      </c>
      <c r="D61" s="31"/>
      <c r="E61" s="29"/>
      <c r="F61" s="29"/>
      <c r="H61" s="3"/>
    </row>
    <row r="62" spans="2:8" ht="18" customHeight="1">
      <c r="B62" s="30" t="s">
        <v>281</v>
      </c>
      <c r="C62" s="31">
        <v>251</v>
      </c>
      <c r="D62" s="31"/>
      <c r="E62" s="32"/>
      <c r="F62" s="32"/>
      <c r="H62" s="3"/>
    </row>
    <row r="63" spans="2:8" ht="18" customHeight="1">
      <c r="B63" s="35" t="s">
        <v>282</v>
      </c>
      <c r="C63" s="31">
        <v>252</v>
      </c>
      <c r="D63" s="31"/>
      <c r="E63" s="32"/>
      <c r="F63" s="32"/>
      <c r="H63" s="3"/>
    </row>
    <row r="64" spans="2:8" ht="18" customHeight="1">
      <c r="B64" s="36" t="s">
        <v>329</v>
      </c>
      <c r="C64" s="37">
        <v>253</v>
      </c>
      <c r="D64" s="37"/>
      <c r="E64" s="38"/>
      <c r="F64" s="38"/>
      <c r="H64" s="3"/>
    </row>
    <row r="65" spans="2:8" ht="18" customHeight="1">
      <c r="B65" s="36" t="s">
        <v>283</v>
      </c>
      <c r="C65" s="37">
        <v>254</v>
      </c>
      <c r="D65" s="37"/>
      <c r="E65" s="38"/>
      <c r="F65" s="38"/>
      <c r="H65" s="3"/>
    </row>
    <row r="66" spans="2:8" ht="18" customHeight="1">
      <c r="B66" s="36" t="s">
        <v>284</v>
      </c>
      <c r="C66" s="37">
        <v>255</v>
      </c>
      <c r="D66" s="37"/>
      <c r="E66" s="38"/>
      <c r="F66" s="38"/>
      <c r="H66" s="3"/>
    </row>
    <row r="67" spans="2:8" ht="18" customHeight="1">
      <c r="B67" s="39" t="s">
        <v>285</v>
      </c>
      <c r="C67" s="40">
        <v>260</v>
      </c>
      <c r="D67" s="37"/>
      <c r="E67" s="41"/>
      <c r="F67" s="41"/>
      <c r="H67" s="3"/>
    </row>
    <row r="68" spans="2:8" ht="18" customHeight="1">
      <c r="B68" s="35" t="s">
        <v>147</v>
      </c>
      <c r="C68" s="31">
        <v>261</v>
      </c>
      <c r="D68" s="31"/>
      <c r="E68" s="32"/>
      <c r="F68" s="32"/>
      <c r="H68" s="3"/>
    </row>
    <row r="69" spans="2:8" ht="18" customHeight="1">
      <c r="B69" s="35" t="s">
        <v>148</v>
      </c>
      <c r="C69" s="31">
        <v>262</v>
      </c>
      <c r="D69" s="31"/>
      <c r="E69" s="32"/>
      <c r="F69" s="32"/>
      <c r="H69" s="3"/>
    </row>
    <row r="70" spans="2:8" ht="18" customHeight="1">
      <c r="B70" s="35" t="s">
        <v>330</v>
      </c>
      <c r="C70" s="31">
        <v>263</v>
      </c>
      <c r="D70" s="31"/>
      <c r="E70" s="32"/>
      <c r="F70" s="32"/>
      <c r="H70" s="3"/>
    </row>
    <row r="71" spans="2:8" ht="18" customHeight="1" thickBot="1">
      <c r="B71" s="35" t="s">
        <v>331</v>
      </c>
      <c r="C71" s="31">
        <v>268</v>
      </c>
      <c r="D71" s="31"/>
      <c r="E71" s="32"/>
      <c r="F71" s="32"/>
      <c r="H71" s="3"/>
    </row>
    <row r="72" spans="2:8" ht="18" customHeight="1">
      <c r="B72" s="42"/>
      <c r="C72" s="43"/>
      <c r="D72" s="44"/>
      <c r="E72" s="45"/>
      <c r="F72" s="45"/>
      <c r="H72" s="3"/>
    </row>
    <row r="73" spans="2:8" ht="18" customHeight="1">
      <c r="B73" s="46" t="s">
        <v>149</v>
      </c>
      <c r="C73" s="47">
        <v>270</v>
      </c>
      <c r="D73" s="48"/>
      <c r="E73" s="49"/>
      <c r="F73" s="49"/>
      <c r="H73" s="3"/>
    </row>
    <row r="74" spans="2:8" ht="23.25" customHeight="1">
      <c r="B74" s="50"/>
      <c r="C74" s="50"/>
      <c r="D74" s="51"/>
      <c r="E74" s="52"/>
      <c r="F74" s="5"/>
      <c r="H74" s="3"/>
    </row>
    <row r="75" spans="2:8" ht="12" customHeight="1">
      <c r="B75" s="53"/>
      <c r="C75" s="53"/>
      <c r="D75" s="54"/>
      <c r="E75" s="55"/>
      <c r="F75" s="56"/>
      <c r="H75" s="3"/>
    </row>
    <row r="76" spans="2:8" ht="18" customHeight="1" thickBot="1">
      <c r="B76" s="57"/>
      <c r="C76" s="58"/>
      <c r="D76" s="58"/>
      <c r="E76" s="59"/>
      <c r="F76" s="60"/>
      <c r="H76" s="3"/>
    </row>
    <row r="77" spans="2:8" ht="27.75" customHeight="1">
      <c r="B77" s="61" t="s">
        <v>34</v>
      </c>
      <c r="C77" s="62" t="s">
        <v>120</v>
      </c>
      <c r="D77" s="62" t="s">
        <v>121</v>
      </c>
      <c r="E77" s="63" t="s">
        <v>122</v>
      </c>
      <c r="F77" s="16" t="s">
        <v>531</v>
      </c>
      <c r="H77" s="3"/>
    </row>
    <row r="78" spans="2:8" ht="18" customHeight="1">
      <c r="B78" s="64"/>
      <c r="C78" s="65"/>
      <c r="D78" s="66"/>
      <c r="E78" s="67"/>
      <c r="F78" s="68"/>
      <c r="H78" s="3"/>
    </row>
    <row r="79" spans="2:8" ht="18" customHeight="1">
      <c r="B79" s="25" t="s">
        <v>200</v>
      </c>
      <c r="C79" s="26">
        <v>300</v>
      </c>
      <c r="D79" s="27"/>
      <c r="E79" s="29"/>
      <c r="F79" s="29"/>
      <c r="H79" s="3"/>
    </row>
    <row r="80" spans="2:8" ht="18" customHeight="1">
      <c r="B80" s="25" t="s">
        <v>150</v>
      </c>
      <c r="C80" s="26">
        <v>310</v>
      </c>
      <c r="D80" s="26"/>
      <c r="E80" s="29"/>
      <c r="F80" s="29"/>
      <c r="H80" s="3"/>
    </row>
    <row r="81" spans="2:9" ht="18" customHeight="1">
      <c r="B81" s="30" t="s">
        <v>332</v>
      </c>
      <c r="C81" s="31">
        <v>311</v>
      </c>
      <c r="D81" s="31"/>
      <c r="E81" s="32"/>
      <c r="F81" s="32"/>
      <c r="H81" s="3"/>
    </row>
    <row r="82" spans="2:9" ht="18" customHeight="1">
      <c r="B82" s="30" t="s">
        <v>333</v>
      </c>
      <c r="C82" s="31">
        <v>312</v>
      </c>
      <c r="D82" s="31"/>
      <c r="E82" s="32"/>
      <c r="F82" s="32"/>
      <c r="H82" s="3"/>
      <c r="I82" s="69"/>
    </row>
    <row r="83" spans="2:9" ht="18" customHeight="1">
      <c r="B83" s="30" t="s">
        <v>334</v>
      </c>
      <c r="C83" s="31">
        <v>313</v>
      </c>
      <c r="D83" s="31"/>
      <c r="E83" s="32"/>
      <c r="F83" s="32"/>
      <c r="H83" s="3"/>
    </row>
    <row r="84" spans="2:9" ht="18" customHeight="1">
      <c r="B84" s="30" t="s">
        <v>335</v>
      </c>
      <c r="C84" s="31">
        <v>314</v>
      </c>
      <c r="D84" s="31"/>
      <c r="E84" s="32"/>
      <c r="F84" s="32"/>
      <c r="H84" s="3"/>
    </row>
    <row r="85" spans="2:9" ht="18" customHeight="1">
      <c r="B85" s="30" t="s">
        <v>336</v>
      </c>
      <c r="C85" s="31">
        <v>315</v>
      </c>
      <c r="D85" s="31"/>
      <c r="E85" s="32"/>
      <c r="F85" s="32"/>
      <c r="H85" s="3"/>
    </row>
    <row r="86" spans="2:9" ht="18" customHeight="1">
      <c r="B86" s="30" t="s">
        <v>337</v>
      </c>
      <c r="C86" s="31">
        <v>316</v>
      </c>
      <c r="D86" s="31"/>
      <c r="E86" s="32"/>
      <c r="F86" s="32"/>
      <c r="H86" s="3"/>
    </row>
    <row r="87" spans="2:9" ht="18" customHeight="1">
      <c r="B87" s="30" t="s">
        <v>338</v>
      </c>
      <c r="C87" s="31">
        <v>317</v>
      </c>
      <c r="D87" s="31"/>
      <c r="E87" s="32"/>
      <c r="F87" s="32"/>
      <c r="H87" s="3"/>
    </row>
    <row r="88" spans="2:9" ht="18" customHeight="1">
      <c r="B88" s="30" t="s">
        <v>339</v>
      </c>
      <c r="C88" s="31">
        <v>318</v>
      </c>
      <c r="D88" s="31"/>
      <c r="E88" s="32"/>
      <c r="F88" s="32"/>
      <c r="H88" s="3"/>
    </row>
    <row r="89" spans="2:9" ht="18" customHeight="1">
      <c r="B89" s="30" t="s">
        <v>340</v>
      </c>
      <c r="C89" s="31">
        <v>319</v>
      </c>
      <c r="D89" s="31"/>
      <c r="E89" s="32"/>
      <c r="F89" s="32"/>
      <c r="H89" s="3"/>
    </row>
    <row r="90" spans="2:9" ht="18" customHeight="1">
      <c r="B90" s="30" t="s">
        <v>341</v>
      </c>
      <c r="C90" s="31">
        <v>320</v>
      </c>
      <c r="D90" s="31"/>
      <c r="E90" s="32"/>
      <c r="F90" s="32"/>
      <c r="H90" s="3"/>
    </row>
    <row r="91" spans="2:9" ht="18" customHeight="1">
      <c r="B91" s="30" t="s">
        <v>286</v>
      </c>
      <c r="C91" s="31">
        <v>321</v>
      </c>
      <c r="D91" s="31"/>
      <c r="E91" s="32"/>
      <c r="F91" s="32"/>
      <c r="H91" s="3"/>
    </row>
    <row r="92" spans="2:9" ht="18" customHeight="1">
      <c r="B92" s="30" t="s">
        <v>287</v>
      </c>
      <c r="C92" s="31">
        <v>322</v>
      </c>
      <c r="D92" s="26"/>
      <c r="E92" s="32"/>
      <c r="F92" s="32"/>
      <c r="H92" s="3"/>
    </row>
    <row r="93" spans="2:9" ht="18" customHeight="1">
      <c r="B93" s="30" t="s">
        <v>288</v>
      </c>
      <c r="C93" s="31">
        <v>323</v>
      </c>
      <c r="D93" s="26"/>
      <c r="E93" s="32"/>
      <c r="F93" s="32"/>
      <c r="H93" s="3"/>
    </row>
    <row r="94" spans="2:9" ht="18" customHeight="1">
      <c r="B94" s="30" t="s">
        <v>289</v>
      </c>
      <c r="C94" s="31">
        <v>324</v>
      </c>
      <c r="D94" s="26"/>
      <c r="E94" s="32"/>
      <c r="F94" s="32"/>
      <c r="H94" s="3"/>
    </row>
    <row r="95" spans="2:9" ht="18" customHeight="1">
      <c r="B95" s="25" t="s">
        <v>151</v>
      </c>
      <c r="C95" s="26">
        <v>330</v>
      </c>
      <c r="D95" s="26"/>
      <c r="E95" s="29"/>
      <c r="F95" s="29"/>
      <c r="H95" s="3"/>
    </row>
    <row r="96" spans="2:9" ht="18" customHeight="1">
      <c r="B96" s="30" t="s">
        <v>310</v>
      </c>
      <c r="C96" s="31">
        <v>331</v>
      </c>
      <c r="D96" s="31"/>
      <c r="E96" s="32"/>
      <c r="F96" s="32"/>
      <c r="H96" s="3"/>
    </row>
    <row r="97" spans="2:8" ht="18" customHeight="1">
      <c r="B97" s="30" t="s">
        <v>342</v>
      </c>
      <c r="C97" s="31">
        <v>332</v>
      </c>
      <c r="D97" s="31"/>
      <c r="E97" s="32"/>
      <c r="F97" s="32"/>
      <c r="H97" s="3"/>
    </row>
    <row r="98" spans="2:8" ht="18" customHeight="1">
      <c r="B98" s="30" t="s">
        <v>343</v>
      </c>
      <c r="C98" s="31">
        <v>333</v>
      </c>
      <c r="D98" s="31"/>
      <c r="E98" s="32"/>
      <c r="F98" s="32"/>
      <c r="H98" s="3"/>
    </row>
    <row r="99" spans="2:8" ht="18" customHeight="1">
      <c r="B99" s="30" t="s">
        <v>344</v>
      </c>
      <c r="C99" s="31">
        <v>334</v>
      </c>
      <c r="D99" s="31"/>
      <c r="E99" s="32"/>
      <c r="F99" s="32"/>
      <c r="H99" s="3"/>
    </row>
    <row r="100" spans="2:8" ht="18" customHeight="1">
      <c r="B100" s="30" t="s">
        <v>345</v>
      </c>
      <c r="C100" s="31">
        <v>335</v>
      </c>
      <c r="D100" s="31"/>
      <c r="E100" s="32"/>
      <c r="F100" s="32"/>
      <c r="H100" s="3"/>
    </row>
    <row r="101" spans="2:8" ht="18" customHeight="1">
      <c r="B101" s="30" t="s">
        <v>346</v>
      </c>
      <c r="C101" s="31">
        <v>336</v>
      </c>
      <c r="D101" s="31"/>
      <c r="E101" s="32"/>
      <c r="F101" s="32"/>
      <c r="H101" s="3"/>
    </row>
    <row r="102" spans="2:8" ht="18" customHeight="1">
      <c r="B102" s="30" t="s">
        <v>347</v>
      </c>
      <c r="C102" s="31">
        <v>337</v>
      </c>
      <c r="D102" s="31"/>
      <c r="E102" s="32"/>
      <c r="F102" s="32"/>
      <c r="H102" s="3"/>
    </row>
    <row r="103" spans="2:8" ht="18" customHeight="1">
      <c r="B103" s="30" t="s">
        <v>348</v>
      </c>
      <c r="C103" s="31">
        <v>338</v>
      </c>
      <c r="D103" s="31"/>
      <c r="E103" s="32"/>
      <c r="F103" s="32"/>
      <c r="H103" s="3"/>
    </row>
    <row r="104" spans="2:8" ht="18" customHeight="1">
      <c r="B104" s="30" t="s">
        <v>349</v>
      </c>
      <c r="C104" s="31">
        <v>339</v>
      </c>
      <c r="D104" s="31"/>
      <c r="E104" s="32"/>
      <c r="F104" s="32"/>
      <c r="H104" s="3"/>
    </row>
    <row r="105" spans="2:8" ht="18" customHeight="1">
      <c r="B105" s="30" t="s">
        <v>350</v>
      </c>
      <c r="C105" s="31">
        <v>340</v>
      </c>
      <c r="D105" s="31"/>
      <c r="E105" s="32"/>
      <c r="F105" s="32"/>
      <c r="H105" s="3"/>
    </row>
    <row r="106" spans="2:8" ht="18" customHeight="1">
      <c r="B106" s="30" t="s">
        <v>351</v>
      </c>
      <c r="C106" s="31">
        <v>341</v>
      </c>
      <c r="D106" s="27"/>
      <c r="E106" s="70"/>
      <c r="F106" s="70"/>
      <c r="H106" s="3"/>
    </row>
    <row r="107" spans="2:8" ht="18" customHeight="1">
      <c r="B107" s="30" t="s">
        <v>352</v>
      </c>
      <c r="C107" s="31">
        <v>342</v>
      </c>
      <c r="D107" s="27"/>
      <c r="E107" s="71"/>
      <c r="F107" s="71"/>
      <c r="H107" s="3"/>
    </row>
    <row r="108" spans="2:8" ht="18" customHeight="1">
      <c r="B108" s="30" t="s">
        <v>353</v>
      </c>
      <c r="C108" s="31">
        <v>343</v>
      </c>
      <c r="D108" s="27"/>
      <c r="E108" s="71"/>
      <c r="F108" s="71"/>
      <c r="H108" s="3"/>
    </row>
    <row r="109" spans="2:8" ht="18" customHeight="1">
      <c r="B109" s="25" t="s">
        <v>152</v>
      </c>
      <c r="C109" s="26">
        <v>400</v>
      </c>
      <c r="D109" s="27"/>
      <c r="E109" s="29"/>
      <c r="F109" s="29"/>
      <c r="H109" s="3"/>
    </row>
    <row r="110" spans="2:8" ht="18" customHeight="1">
      <c r="B110" s="25" t="s">
        <v>153</v>
      </c>
      <c r="C110" s="26">
        <v>410</v>
      </c>
      <c r="D110" s="31"/>
      <c r="E110" s="29"/>
      <c r="F110" s="29"/>
      <c r="H110" s="3"/>
    </row>
    <row r="111" spans="2:8" ht="18" customHeight="1">
      <c r="B111" s="30" t="s">
        <v>292</v>
      </c>
      <c r="C111" s="31">
        <v>411</v>
      </c>
      <c r="D111" s="31"/>
      <c r="E111" s="32"/>
      <c r="F111" s="32"/>
      <c r="H111" s="3"/>
    </row>
    <row r="112" spans="2:8" ht="18" customHeight="1">
      <c r="B112" s="30" t="s">
        <v>154</v>
      </c>
      <c r="C112" s="31">
        <v>412</v>
      </c>
      <c r="D112" s="31"/>
      <c r="E112" s="32"/>
      <c r="F112" s="32"/>
      <c r="H112" s="3"/>
    </row>
    <row r="113" spans="2:8" ht="18" customHeight="1">
      <c r="B113" s="35" t="s">
        <v>293</v>
      </c>
      <c r="C113" s="31">
        <v>413</v>
      </c>
      <c r="D113" s="31"/>
      <c r="E113" s="32"/>
      <c r="F113" s="32"/>
      <c r="H113" s="3"/>
    </row>
    <row r="114" spans="2:8" ht="18" customHeight="1">
      <c r="B114" s="30" t="s">
        <v>294</v>
      </c>
      <c r="C114" s="31">
        <v>414</v>
      </c>
      <c r="D114" s="31"/>
      <c r="E114" s="32"/>
      <c r="F114" s="32"/>
      <c r="H114" s="3"/>
    </row>
    <row r="115" spans="2:8" ht="18" customHeight="1">
      <c r="B115" s="30" t="s">
        <v>295</v>
      </c>
      <c r="C115" s="31">
        <v>415</v>
      </c>
      <c r="D115" s="31"/>
      <c r="E115" s="32"/>
      <c r="F115" s="32"/>
      <c r="H115" s="3"/>
    </row>
    <row r="116" spans="2:8" ht="18" customHeight="1">
      <c r="B116" s="30" t="s">
        <v>296</v>
      </c>
      <c r="C116" s="31">
        <v>416</v>
      </c>
      <c r="D116" s="31"/>
      <c r="E116" s="32"/>
      <c r="F116" s="32"/>
      <c r="H116" s="3"/>
    </row>
    <row r="117" spans="2:8" ht="18" customHeight="1">
      <c r="B117" s="30" t="s">
        <v>297</v>
      </c>
      <c r="C117" s="31">
        <v>417</v>
      </c>
      <c r="D117" s="31"/>
      <c r="E117" s="32"/>
      <c r="F117" s="32"/>
      <c r="H117" s="3"/>
    </row>
    <row r="118" spans="2:8" ht="18" customHeight="1">
      <c r="B118" s="30" t="s">
        <v>298</v>
      </c>
      <c r="C118" s="31">
        <v>418</v>
      </c>
      <c r="D118" s="31"/>
      <c r="E118" s="32"/>
      <c r="F118" s="32"/>
      <c r="H118" s="3"/>
    </row>
    <row r="119" spans="2:8" ht="18" customHeight="1">
      <c r="B119" s="30" t="s">
        <v>299</v>
      </c>
      <c r="C119" s="31">
        <v>419</v>
      </c>
      <c r="D119" s="31"/>
      <c r="E119" s="32"/>
      <c r="F119" s="32"/>
      <c r="H119" s="3"/>
    </row>
    <row r="120" spans="2:8" ht="18" customHeight="1">
      <c r="B120" s="30" t="s">
        <v>300</v>
      </c>
      <c r="C120" s="31">
        <v>420</v>
      </c>
      <c r="D120" s="31"/>
      <c r="E120" s="33"/>
      <c r="F120" s="32"/>
      <c r="H120" s="3"/>
    </row>
    <row r="121" spans="2:8" ht="18" customHeight="1">
      <c r="B121" s="30" t="s">
        <v>301</v>
      </c>
      <c r="C121" s="31">
        <v>421</v>
      </c>
      <c r="D121" s="31"/>
      <c r="E121" s="72"/>
      <c r="F121" s="33"/>
      <c r="H121" s="3"/>
    </row>
    <row r="122" spans="2:8" ht="18" customHeight="1">
      <c r="B122" s="30" t="s">
        <v>302</v>
      </c>
      <c r="C122" s="31" t="s">
        <v>290</v>
      </c>
      <c r="D122" s="31"/>
      <c r="E122" s="72"/>
      <c r="F122" s="33"/>
      <c r="H122" s="3"/>
    </row>
    <row r="123" spans="2:8" ht="18" customHeight="1">
      <c r="B123" s="30" t="s">
        <v>303</v>
      </c>
      <c r="C123" s="31" t="s">
        <v>291</v>
      </c>
      <c r="D123" s="31"/>
      <c r="E123" s="73"/>
      <c r="F123" s="72"/>
      <c r="H123" s="3"/>
    </row>
    <row r="124" spans="2:8" ht="18" customHeight="1">
      <c r="B124" s="30" t="s">
        <v>354</v>
      </c>
      <c r="C124" s="31">
        <v>422</v>
      </c>
      <c r="D124" s="31"/>
      <c r="E124" s="72"/>
      <c r="F124" s="32"/>
      <c r="H124" s="3"/>
    </row>
    <row r="125" spans="2:8" ht="18" customHeight="1">
      <c r="B125" s="25" t="s">
        <v>155</v>
      </c>
      <c r="C125" s="26">
        <v>430</v>
      </c>
      <c r="D125" s="26"/>
      <c r="E125" s="72"/>
      <c r="F125" s="29"/>
      <c r="H125" s="3"/>
    </row>
    <row r="126" spans="2:8" ht="18" customHeight="1">
      <c r="B126" s="30" t="s">
        <v>201</v>
      </c>
      <c r="C126" s="31">
        <v>431</v>
      </c>
      <c r="D126" s="31"/>
      <c r="E126" s="32"/>
      <c r="F126" s="32"/>
      <c r="H126" s="3"/>
    </row>
    <row r="127" spans="2:8" ht="18" customHeight="1" thickBot="1">
      <c r="B127" s="74" t="s">
        <v>202</v>
      </c>
      <c r="C127" s="75">
        <v>432</v>
      </c>
      <c r="D127" s="75"/>
      <c r="E127" s="76"/>
      <c r="F127" s="76"/>
      <c r="H127" s="3"/>
    </row>
    <row r="128" spans="2:8" ht="18" customHeight="1">
      <c r="B128" s="42"/>
      <c r="C128" s="43"/>
      <c r="D128" s="44"/>
      <c r="E128" s="77"/>
      <c r="F128" s="78"/>
      <c r="H128" s="3"/>
    </row>
    <row r="129" spans="2:9" ht="18" customHeight="1" thickBot="1">
      <c r="B129" s="79" t="s">
        <v>156</v>
      </c>
      <c r="C129" s="80">
        <v>440</v>
      </c>
      <c r="D129" s="81"/>
      <c r="E129" s="82"/>
      <c r="F129" s="82"/>
      <c r="H129" s="3"/>
      <c r="I129" s="69"/>
    </row>
    <row r="130" spans="2:9" ht="18" customHeight="1">
      <c r="B130" s="83"/>
      <c r="C130" s="2"/>
      <c r="D130" s="2"/>
      <c r="E130" s="84">
        <f>E73-E129</f>
        <v>0</v>
      </c>
      <c r="F130" s="84">
        <f>F73-F129</f>
        <v>0</v>
      </c>
    </row>
    <row r="131" spans="2:9" ht="18" customHeight="1">
      <c r="B131" s="85"/>
      <c r="C131" s="2"/>
      <c r="D131" s="2"/>
      <c r="E131" s="84"/>
    </row>
    <row r="132" spans="2:9" ht="18" customHeight="1">
      <c r="E132" s="7" t="str">
        <f>Ttin!C6</f>
        <v>Ngày 31/05/2024</v>
      </c>
      <c r="F132" s="7"/>
    </row>
    <row r="133" spans="2:9" ht="18" customHeight="1">
      <c r="B133" s="86" t="s">
        <v>397</v>
      </c>
      <c r="C133" s="87" t="s">
        <v>192</v>
      </c>
      <c r="D133" s="7"/>
      <c r="E133" s="87" t="s">
        <v>193</v>
      </c>
      <c r="F133" s="7"/>
    </row>
    <row r="134" spans="2:9" ht="18" customHeight="1">
      <c r="B134" s="86"/>
      <c r="C134" s="87"/>
      <c r="D134" s="7"/>
      <c r="E134" s="87"/>
      <c r="F134" s="7"/>
    </row>
    <row r="135" spans="2:9">
      <c r="B135" s="88"/>
      <c r="C135" s="89"/>
      <c r="D135" s="7"/>
      <c r="E135" s="89"/>
      <c r="F135" s="7"/>
    </row>
    <row r="136" spans="2:9">
      <c r="B136" s="88"/>
      <c r="C136" s="89"/>
      <c r="D136" s="7"/>
      <c r="E136" s="89"/>
      <c r="F136" s="7"/>
    </row>
    <row r="137" spans="2:9">
      <c r="B137" s="90"/>
      <c r="C137" s="91"/>
      <c r="D137" s="7"/>
      <c r="E137" s="91"/>
      <c r="F137" s="7"/>
    </row>
    <row r="138" spans="2:9">
      <c r="B138" s="86" t="str">
        <f>Ttin!C10</f>
        <v>Bùi Ngọc Thủy Tiên</v>
      </c>
      <c r="C138" s="92" t="str">
        <f>Ttin!C9</f>
        <v>Lâm Văn Bền</v>
      </c>
      <c r="D138" s="7"/>
      <c r="E138" s="93" t="str">
        <f>Ttin!C8</f>
        <v>Hồ Ngọc Linh</v>
      </c>
      <c r="F138" s="7"/>
    </row>
  </sheetData>
  <printOptions horizontalCentered="1"/>
  <pageMargins left="0" right="0" top="0" bottom="0" header="0.31496062992125984" footer="0.31496062992125984"/>
  <pageSetup paperSize="9" scale="62" fitToHeight="2" orientation="portrait" r:id="rId1"/>
  <headerFooter>
    <oddFooter>&amp;CTrang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00B050"/>
    <pageSetUpPr fitToPage="1"/>
  </sheetPr>
  <dimension ref="B1:J37"/>
  <sheetViews>
    <sheetView topLeftCell="A16" zoomScaleNormal="100" workbookViewId="0">
      <selection activeCell="C27" sqref="C27"/>
    </sheetView>
  </sheetViews>
  <sheetFormatPr defaultColWidth="9" defaultRowHeight="15.75"/>
  <cols>
    <col min="1" max="1" width="5" style="1" customWidth="1"/>
    <col min="2" max="2" width="50.77734375" style="1" customWidth="1"/>
    <col min="3" max="4" width="9" style="1"/>
    <col min="5" max="6" width="17.44140625" style="1" customWidth="1"/>
    <col min="7" max="7" width="14.109375" style="1" bestFit="1" customWidth="1"/>
    <col min="8" max="8" width="14.88671875" style="1" bestFit="1" customWidth="1"/>
    <col min="9" max="10" width="14.109375" style="1" bestFit="1" customWidth="1"/>
    <col min="11" max="16384" width="9" style="1"/>
  </cols>
  <sheetData>
    <row r="1" spans="2:8">
      <c r="B1" s="4" t="str">
        <f>Ttin!C2</f>
        <v>Công ty Cổ phần Sản xuất Thương mại APEC</v>
      </c>
      <c r="D1" s="94"/>
      <c r="E1" s="95" t="s">
        <v>203</v>
      </c>
      <c r="F1" s="96"/>
    </row>
    <row r="2" spans="2:8">
      <c r="B2" s="8" t="str">
        <f>Ttin!C3</f>
        <v>32 đường số 7, Phường Bình Hưng Hòa, Quận Bình Tân, TP Hồ Chí Minh</v>
      </c>
      <c r="C2" s="5"/>
      <c r="D2" s="5"/>
      <c r="E2" s="9" t="s">
        <v>305</v>
      </c>
      <c r="F2" s="10"/>
    </row>
    <row r="3" spans="2:8">
      <c r="C3" s="5"/>
      <c r="D3" s="5"/>
      <c r="E3" s="9" t="s">
        <v>306</v>
      </c>
      <c r="F3" s="10"/>
    </row>
    <row r="4" spans="2:8" ht="15" customHeight="1">
      <c r="C4" s="5"/>
      <c r="D4" s="5"/>
      <c r="E4" s="7"/>
      <c r="F4" s="10"/>
    </row>
    <row r="5" spans="2:8" ht="23.25" customHeight="1">
      <c r="B5" s="97" t="s">
        <v>204</v>
      </c>
      <c r="C5" s="98"/>
      <c r="D5" s="98"/>
      <c r="E5" s="98"/>
      <c r="F5" s="98"/>
    </row>
    <row r="6" spans="2:8" ht="21.75" customHeight="1">
      <c r="B6" s="99" t="str">
        <f>Ttin!C5</f>
        <v>Tháng 5/2024</v>
      </c>
      <c r="C6" s="100"/>
      <c r="D6" s="100"/>
      <c r="E6" s="100"/>
      <c r="F6" s="100"/>
    </row>
    <row r="7" spans="2:8">
      <c r="F7" s="101" t="s">
        <v>205</v>
      </c>
    </row>
    <row r="8" spans="2:8">
      <c r="B8" s="390" t="s">
        <v>157</v>
      </c>
      <c r="C8" s="102" t="s">
        <v>206</v>
      </c>
      <c r="D8" s="102" t="s">
        <v>207</v>
      </c>
      <c r="E8" s="390" t="s">
        <v>160</v>
      </c>
      <c r="F8" s="390" t="s">
        <v>251</v>
      </c>
    </row>
    <row r="9" spans="2:8">
      <c r="B9" s="391"/>
      <c r="C9" s="103" t="s">
        <v>208</v>
      </c>
      <c r="D9" s="103" t="s">
        <v>209</v>
      </c>
      <c r="E9" s="391"/>
      <c r="F9" s="391"/>
    </row>
    <row r="10" spans="2:8">
      <c r="B10" s="104">
        <v>1</v>
      </c>
      <c r="C10" s="104">
        <v>2</v>
      </c>
      <c r="D10" s="104">
        <v>3</v>
      </c>
      <c r="E10" s="104">
        <v>4</v>
      </c>
      <c r="F10" s="104">
        <v>5</v>
      </c>
    </row>
    <row r="11" spans="2:8" ht="20.25" customHeight="1">
      <c r="B11" s="105" t="s">
        <v>210</v>
      </c>
      <c r="C11" s="106" t="s">
        <v>211</v>
      </c>
      <c r="D11" s="107"/>
      <c r="E11" s="111"/>
      <c r="F11" s="111"/>
      <c r="H11" s="3"/>
    </row>
    <row r="12" spans="2:8" ht="20.25" customHeight="1">
      <c r="B12" s="105" t="s">
        <v>212</v>
      </c>
      <c r="C12" s="106" t="s">
        <v>213</v>
      </c>
      <c r="D12" s="107"/>
      <c r="E12" s="111"/>
      <c r="F12" s="111"/>
      <c r="H12" s="3"/>
    </row>
    <row r="13" spans="2:8" ht="35.25" customHeight="1">
      <c r="B13" s="105" t="s">
        <v>214</v>
      </c>
      <c r="C13" s="107">
        <v>10</v>
      </c>
      <c r="D13" s="107"/>
      <c r="E13" s="111"/>
      <c r="F13" s="111"/>
      <c r="G13" s="108"/>
      <c r="H13" s="3"/>
    </row>
    <row r="14" spans="2:8" ht="20.25" customHeight="1">
      <c r="B14" s="105" t="s">
        <v>215</v>
      </c>
      <c r="C14" s="107">
        <v>11</v>
      </c>
      <c r="D14" s="107"/>
      <c r="E14" s="111"/>
      <c r="F14" s="111"/>
      <c r="G14" s="109"/>
      <c r="H14" s="3"/>
    </row>
    <row r="15" spans="2:8" ht="31.5" customHeight="1">
      <c r="B15" s="105" t="s">
        <v>216</v>
      </c>
      <c r="C15" s="107">
        <v>20</v>
      </c>
      <c r="D15" s="107"/>
      <c r="E15" s="111"/>
      <c r="F15" s="111"/>
      <c r="H15" s="3"/>
    </row>
    <row r="16" spans="2:8" ht="20.25" customHeight="1">
      <c r="B16" s="105" t="s">
        <v>217</v>
      </c>
      <c r="C16" s="107">
        <v>21</v>
      </c>
      <c r="D16" s="107"/>
      <c r="E16" s="111"/>
      <c r="F16" s="111"/>
      <c r="H16" s="3"/>
    </row>
    <row r="17" spans="2:10" ht="20.25" customHeight="1">
      <c r="B17" s="105" t="s">
        <v>218</v>
      </c>
      <c r="C17" s="107">
        <v>22</v>
      </c>
      <c r="D17" s="107"/>
      <c r="E17" s="111"/>
      <c r="F17" s="111"/>
      <c r="H17" s="3"/>
    </row>
    <row r="18" spans="2:10" ht="20.25" customHeight="1">
      <c r="B18" s="105" t="s">
        <v>219</v>
      </c>
      <c r="C18" s="107">
        <v>23</v>
      </c>
      <c r="D18" s="107"/>
      <c r="E18" s="111"/>
      <c r="F18" s="111"/>
      <c r="H18" s="3"/>
    </row>
    <row r="19" spans="2:10" ht="20.25" customHeight="1">
      <c r="B19" s="105" t="s">
        <v>220</v>
      </c>
      <c r="C19" s="107">
        <v>25</v>
      </c>
      <c r="D19" s="107"/>
      <c r="E19" s="111"/>
      <c r="F19" s="111"/>
      <c r="H19" s="3"/>
    </row>
    <row r="20" spans="2:10" ht="20.25" customHeight="1">
      <c r="B20" s="105" t="s">
        <v>221</v>
      </c>
      <c r="C20" s="107">
        <v>26</v>
      </c>
      <c r="D20" s="107"/>
      <c r="E20" s="111"/>
      <c r="F20" s="111"/>
      <c r="H20" s="3"/>
    </row>
    <row r="21" spans="2:10" ht="35.25" customHeight="1">
      <c r="B21" s="110" t="s">
        <v>222</v>
      </c>
      <c r="C21" s="107">
        <v>30</v>
      </c>
      <c r="D21" s="107"/>
      <c r="E21" s="111"/>
      <c r="F21" s="111"/>
      <c r="H21" s="3"/>
    </row>
    <row r="22" spans="2:10" ht="20.25" customHeight="1">
      <c r="B22" s="105" t="s">
        <v>223</v>
      </c>
      <c r="C22" s="107">
        <v>31</v>
      </c>
      <c r="D22" s="107"/>
      <c r="E22" s="111"/>
      <c r="F22" s="111"/>
      <c r="H22" s="3"/>
    </row>
    <row r="23" spans="2:10" ht="20.25" customHeight="1">
      <c r="B23" s="105" t="s">
        <v>224</v>
      </c>
      <c r="C23" s="107">
        <v>32</v>
      </c>
      <c r="D23" s="107"/>
      <c r="E23" s="111"/>
      <c r="F23" s="111"/>
      <c r="H23" s="3"/>
    </row>
    <row r="24" spans="2:10" ht="20.25" customHeight="1">
      <c r="B24" s="105" t="s">
        <v>225</v>
      </c>
      <c r="C24" s="107">
        <v>40</v>
      </c>
      <c r="D24" s="107"/>
      <c r="E24" s="111"/>
      <c r="F24" s="111"/>
      <c r="H24" s="3"/>
    </row>
    <row r="25" spans="2:10" ht="33" customHeight="1">
      <c r="B25" s="105" t="s">
        <v>226</v>
      </c>
      <c r="C25" s="107">
        <v>50</v>
      </c>
      <c r="D25" s="107"/>
      <c r="E25" s="111"/>
      <c r="F25" s="111"/>
      <c r="H25" s="3"/>
    </row>
    <row r="26" spans="2:10" ht="20.25" customHeight="1">
      <c r="B26" s="105" t="s">
        <v>227</v>
      </c>
      <c r="C26" s="107">
        <v>51</v>
      </c>
      <c r="D26" s="107"/>
      <c r="E26" s="111"/>
      <c r="F26" s="111"/>
      <c r="G26" s="324"/>
      <c r="H26" s="3"/>
    </row>
    <row r="27" spans="2:10" ht="20.25" customHeight="1">
      <c r="B27" s="105" t="s">
        <v>228</v>
      </c>
      <c r="C27" s="107">
        <v>52</v>
      </c>
      <c r="D27" s="107"/>
      <c r="E27" s="111"/>
      <c r="F27" s="111"/>
      <c r="H27" s="3"/>
    </row>
    <row r="28" spans="2:10" ht="34.5" customHeight="1">
      <c r="B28" s="105" t="s">
        <v>229</v>
      </c>
      <c r="C28" s="107">
        <v>60</v>
      </c>
      <c r="D28" s="107"/>
      <c r="E28" s="111"/>
      <c r="F28" s="111"/>
      <c r="G28" s="3"/>
      <c r="H28" s="3"/>
      <c r="I28" s="3"/>
      <c r="J28" s="3"/>
    </row>
    <row r="29" spans="2:10" ht="20.25" customHeight="1">
      <c r="B29" s="112" t="s">
        <v>230</v>
      </c>
      <c r="C29" s="113">
        <v>70</v>
      </c>
      <c r="D29" s="113"/>
      <c r="E29" s="111"/>
      <c r="F29" s="111"/>
      <c r="H29" s="3"/>
    </row>
    <row r="30" spans="2:10" ht="20.25" customHeight="1">
      <c r="B30" s="114" t="s">
        <v>304</v>
      </c>
      <c r="C30" s="115">
        <v>71</v>
      </c>
      <c r="D30" s="115"/>
      <c r="E30" s="322"/>
      <c r="F30" s="322"/>
      <c r="H30" s="3"/>
    </row>
    <row r="31" spans="2:10">
      <c r="B31" s="116" t="s">
        <v>231</v>
      </c>
    </row>
    <row r="32" spans="2:10">
      <c r="E32" s="117" t="str">
        <f>Ttin!C6</f>
        <v>Ngày 31/05/2024</v>
      </c>
      <c r="F32" s="118"/>
    </row>
    <row r="33" spans="2:6">
      <c r="B33" s="119" t="s">
        <v>253</v>
      </c>
      <c r="E33" s="96" t="s">
        <v>187</v>
      </c>
      <c r="F33" s="96"/>
    </row>
    <row r="34" spans="2:6">
      <c r="E34" s="7"/>
      <c r="F34" s="7"/>
    </row>
    <row r="35" spans="2:6">
      <c r="E35" s="7"/>
      <c r="F35" s="7"/>
    </row>
    <row r="36" spans="2:6">
      <c r="E36" s="7"/>
      <c r="F36" s="7"/>
    </row>
    <row r="37" spans="2:6">
      <c r="B37" s="120" t="str">
        <f>"               "&amp;Ttin!C10&amp;"                          "&amp;Ttin!C9</f>
        <v xml:space="preserve">               Bùi Ngọc Thủy Tiên                          Lâm Văn Bền</v>
      </c>
      <c r="C37" s="121"/>
      <c r="D37" s="122"/>
      <c r="E37" s="93" t="str">
        <f>Ttin!C8</f>
        <v>Hồ Ngọc Linh</v>
      </c>
      <c r="F37" s="89"/>
    </row>
  </sheetData>
  <mergeCells count="3">
    <mergeCell ref="B8:B9"/>
    <mergeCell ref="E8:E9"/>
    <mergeCell ref="F8:F9"/>
  </mergeCells>
  <pageMargins left="0.70866141732283505" right="0.4" top="0.74803149606299202" bottom="0.74803149606299202" header="0.31496062992126" footer="0.31496062992126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50"/>
    <pageSetUpPr fitToPage="1"/>
  </sheetPr>
  <dimension ref="B1:H48"/>
  <sheetViews>
    <sheetView topLeftCell="A49" zoomScale="85" zoomScaleNormal="85" workbookViewId="0">
      <selection activeCell="E59" sqref="E59"/>
    </sheetView>
  </sheetViews>
  <sheetFormatPr defaultColWidth="9" defaultRowHeight="15.75"/>
  <cols>
    <col min="1" max="1" width="5.33203125" style="121" customWidth="1"/>
    <col min="2" max="2" width="68" style="121" customWidth="1"/>
    <col min="3" max="4" width="9" style="121"/>
    <col min="5" max="5" width="17" style="121" customWidth="1"/>
    <col min="6" max="6" width="17.77734375" style="121" customWidth="1"/>
    <col min="7" max="7" width="17.88671875" style="121" customWidth="1"/>
    <col min="8" max="8" width="17.33203125" style="121" bestFit="1" customWidth="1"/>
    <col min="9" max="16384" width="9" style="121"/>
  </cols>
  <sheetData>
    <row r="1" spans="2:8">
      <c r="B1" s="4" t="str">
        <f>Ttin!C2</f>
        <v>Công ty Cổ phần Sản xuất Thương mại APEC</v>
      </c>
      <c r="E1" s="284" t="s">
        <v>158</v>
      </c>
    </row>
    <row r="2" spans="2:8">
      <c r="B2" s="8" t="str">
        <f>Ttin!C3</f>
        <v>32 đường số 7, Phường Bình Hưng Hòa, Quận Bình Tân, TP Hồ Chí Minh</v>
      </c>
      <c r="E2" s="285" t="s">
        <v>305</v>
      </c>
    </row>
    <row r="3" spans="2:8">
      <c r="E3" s="285" t="s">
        <v>306</v>
      </c>
    </row>
    <row r="4" spans="2:8" ht="25.5" customHeight="1">
      <c r="B4" s="133" t="s">
        <v>159</v>
      </c>
      <c r="C4" s="89"/>
      <c r="D4" s="89"/>
      <c r="E4" s="89"/>
      <c r="F4" s="89"/>
    </row>
    <row r="5" spans="2:8">
      <c r="B5" s="286" t="s">
        <v>191</v>
      </c>
      <c r="C5" s="89"/>
      <c r="D5" s="89"/>
      <c r="E5" s="89"/>
      <c r="F5" s="89"/>
    </row>
    <row r="6" spans="2:8">
      <c r="B6" s="91" t="str">
        <f>NhatKy!A5</f>
        <v>Tháng 5/2024</v>
      </c>
      <c r="C6" s="89"/>
      <c r="D6" s="89"/>
      <c r="E6" s="89"/>
      <c r="F6" s="89"/>
    </row>
    <row r="7" spans="2:8">
      <c r="D7" s="287"/>
      <c r="F7" s="140" t="s">
        <v>190</v>
      </c>
    </row>
    <row r="8" spans="2:8" ht="31.5">
      <c r="B8" s="288" t="s">
        <v>31</v>
      </c>
      <c r="C8" s="289" t="s">
        <v>120</v>
      </c>
      <c r="D8" s="289" t="s">
        <v>121</v>
      </c>
      <c r="E8" s="289" t="s">
        <v>160</v>
      </c>
      <c r="F8" s="289" t="s">
        <v>161</v>
      </c>
    </row>
    <row r="9" spans="2:8">
      <c r="B9" s="290">
        <v>1</v>
      </c>
      <c r="C9" s="290">
        <v>2</v>
      </c>
      <c r="D9" s="290">
        <v>3</v>
      </c>
      <c r="E9" s="290">
        <v>4</v>
      </c>
      <c r="F9" s="290">
        <v>5</v>
      </c>
    </row>
    <row r="10" spans="2:8" ht="21" customHeight="1">
      <c r="B10" s="291" t="s">
        <v>162</v>
      </c>
      <c r="C10" s="292"/>
      <c r="D10" s="292"/>
      <c r="E10" s="293"/>
      <c r="F10" s="294"/>
    </row>
    <row r="11" spans="2:8" ht="21" customHeight="1">
      <c r="B11" s="294" t="s">
        <v>163</v>
      </c>
      <c r="C11" s="182" t="s">
        <v>24</v>
      </c>
      <c r="D11" s="292"/>
      <c r="E11" s="111"/>
      <c r="F11" s="295"/>
      <c r="H11" s="127"/>
    </row>
    <row r="12" spans="2:8" ht="21" customHeight="1">
      <c r="B12" s="294" t="s">
        <v>164</v>
      </c>
      <c r="C12" s="182" t="s">
        <v>25</v>
      </c>
      <c r="D12" s="292"/>
      <c r="E12" s="111"/>
      <c r="F12" s="295"/>
      <c r="H12" s="127"/>
    </row>
    <row r="13" spans="2:8" ht="21" customHeight="1">
      <c r="B13" s="294" t="s">
        <v>165</v>
      </c>
      <c r="C13" s="182" t="s">
        <v>26</v>
      </c>
      <c r="D13" s="292"/>
      <c r="E13" s="111"/>
      <c r="F13" s="295"/>
      <c r="H13" s="127"/>
    </row>
    <row r="14" spans="2:8" ht="21" customHeight="1">
      <c r="B14" s="294" t="s">
        <v>355</v>
      </c>
      <c r="C14" s="182" t="s">
        <v>27</v>
      </c>
      <c r="D14" s="292"/>
      <c r="E14" s="111"/>
      <c r="F14" s="295"/>
      <c r="H14" s="127"/>
    </row>
    <row r="15" spans="2:8" ht="21" customHeight="1">
      <c r="B15" s="294" t="s">
        <v>356</v>
      </c>
      <c r="C15" s="182" t="s">
        <v>28</v>
      </c>
      <c r="D15" s="292"/>
      <c r="E15" s="111"/>
      <c r="F15" s="295"/>
      <c r="H15" s="127"/>
    </row>
    <row r="16" spans="2:8" ht="21" customHeight="1">
      <c r="B16" s="294" t="s">
        <v>166</v>
      </c>
      <c r="C16" s="182" t="s">
        <v>29</v>
      </c>
      <c r="D16" s="292"/>
      <c r="E16" s="111"/>
      <c r="F16" s="295"/>
      <c r="H16" s="127"/>
    </row>
    <row r="17" spans="2:8" ht="21" customHeight="1">
      <c r="B17" s="294" t="s">
        <v>167</v>
      </c>
      <c r="C17" s="182" t="s">
        <v>30</v>
      </c>
      <c r="D17" s="292"/>
      <c r="E17" s="111"/>
      <c r="F17" s="295"/>
      <c r="H17" s="127"/>
    </row>
    <row r="18" spans="2:8" ht="21" customHeight="1">
      <c r="B18" s="296" t="s">
        <v>168</v>
      </c>
      <c r="C18" s="297">
        <v>20</v>
      </c>
      <c r="D18" s="298"/>
      <c r="E18" s="299"/>
      <c r="F18" s="299"/>
      <c r="H18" s="127"/>
    </row>
    <row r="19" spans="2:8" ht="21" customHeight="1">
      <c r="B19" s="291"/>
      <c r="C19" s="182"/>
      <c r="D19" s="292"/>
      <c r="E19" s="111"/>
      <c r="F19" s="295"/>
      <c r="H19" s="127"/>
    </row>
    <row r="20" spans="2:8" ht="21" customHeight="1">
      <c r="B20" s="291" t="s">
        <v>169</v>
      </c>
      <c r="C20" s="182"/>
      <c r="D20" s="292"/>
      <c r="E20" s="111"/>
      <c r="F20" s="295"/>
      <c r="H20" s="127"/>
    </row>
    <row r="21" spans="2:8" ht="21" customHeight="1">
      <c r="B21" s="294" t="s">
        <v>170</v>
      </c>
      <c r="C21" s="182">
        <v>21</v>
      </c>
      <c r="D21" s="292"/>
      <c r="E21" s="111"/>
      <c r="F21" s="295"/>
      <c r="H21" s="127"/>
    </row>
    <row r="22" spans="2:8" ht="21" customHeight="1">
      <c r="B22" s="294" t="s">
        <v>171</v>
      </c>
      <c r="C22" s="182">
        <v>22</v>
      </c>
      <c r="D22" s="292"/>
      <c r="E22" s="111"/>
      <c r="F22" s="295"/>
      <c r="H22" s="127"/>
    </row>
    <row r="23" spans="2:8" ht="21" customHeight="1">
      <c r="B23" s="294" t="s">
        <v>172</v>
      </c>
      <c r="C23" s="182">
        <v>23</v>
      </c>
      <c r="D23" s="292"/>
      <c r="E23" s="111"/>
      <c r="F23" s="295"/>
      <c r="H23" s="127"/>
    </row>
    <row r="24" spans="2:8" ht="21" customHeight="1">
      <c r="B24" s="294" t="s">
        <v>173</v>
      </c>
      <c r="C24" s="182">
        <v>24</v>
      </c>
      <c r="D24" s="292"/>
      <c r="E24" s="111"/>
      <c r="F24" s="295"/>
      <c r="H24" s="127"/>
    </row>
    <row r="25" spans="2:8" ht="21" customHeight="1">
      <c r="B25" s="294" t="s">
        <v>174</v>
      </c>
      <c r="C25" s="182">
        <v>25</v>
      </c>
      <c r="D25" s="292"/>
      <c r="E25" s="111"/>
      <c r="F25" s="295"/>
      <c r="H25" s="127"/>
    </row>
    <row r="26" spans="2:8" ht="21" customHeight="1">
      <c r="B26" s="294" t="s">
        <v>175</v>
      </c>
      <c r="C26" s="182">
        <v>26</v>
      </c>
      <c r="D26" s="292"/>
      <c r="E26" s="111"/>
      <c r="F26" s="295"/>
      <c r="H26" s="127"/>
    </row>
    <row r="27" spans="2:8" ht="21" customHeight="1">
      <c r="B27" s="294" t="s">
        <v>176</v>
      </c>
      <c r="C27" s="182">
        <v>27</v>
      </c>
      <c r="D27" s="292"/>
      <c r="E27" s="111"/>
      <c r="F27" s="295"/>
      <c r="H27" s="127"/>
    </row>
    <row r="28" spans="2:8" ht="21" customHeight="1">
      <c r="B28" s="296" t="s">
        <v>177</v>
      </c>
      <c r="C28" s="297">
        <v>30</v>
      </c>
      <c r="D28" s="298"/>
      <c r="E28" s="299"/>
      <c r="F28" s="299"/>
      <c r="H28" s="127"/>
    </row>
    <row r="29" spans="2:8" ht="21" customHeight="1">
      <c r="B29" s="291"/>
      <c r="C29" s="182"/>
      <c r="D29" s="292"/>
      <c r="E29" s="111"/>
      <c r="F29" s="295"/>
      <c r="H29" s="127"/>
    </row>
    <row r="30" spans="2:8" ht="21" customHeight="1">
      <c r="B30" s="291" t="s">
        <v>178</v>
      </c>
      <c r="C30" s="182"/>
      <c r="D30" s="292"/>
      <c r="E30" s="111"/>
      <c r="F30" s="295"/>
      <c r="H30" s="127"/>
    </row>
    <row r="31" spans="2:8" ht="21" customHeight="1">
      <c r="B31" s="294" t="s">
        <v>179</v>
      </c>
      <c r="C31" s="182">
        <v>31</v>
      </c>
      <c r="D31" s="292"/>
      <c r="E31" s="111"/>
      <c r="F31" s="295"/>
      <c r="H31" s="127"/>
    </row>
    <row r="32" spans="2:8" ht="38.25" customHeight="1">
      <c r="B32" s="294" t="s">
        <v>180</v>
      </c>
      <c r="C32" s="182">
        <v>32</v>
      </c>
      <c r="D32" s="292"/>
      <c r="E32" s="111"/>
      <c r="F32" s="295"/>
      <c r="H32" s="127"/>
    </row>
    <row r="33" spans="2:8" ht="21" customHeight="1">
      <c r="B33" s="294" t="s">
        <v>357</v>
      </c>
      <c r="C33" s="182">
        <v>33</v>
      </c>
      <c r="D33" s="292"/>
      <c r="E33" s="111"/>
      <c r="F33" s="295"/>
      <c r="H33" s="127"/>
    </row>
    <row r="34" spans="2:8" ht="21" customHeight="1">
      <c r="B34" s="294" t="s">
        <v>358</v>
      </c>
      <c r="C34" s="182">
        <v>34</v>
      </c>
      <c r="D34" s="292"/>
      <c r="E34" s="111"/>
      <c r="F34" s="295"/>
      <c r="H34" s="127"/>
    </row>
    <row r="35" spans="2:8" ht="21" customHeight="1">
      <c r="B35" s="294" t="s">
        <v>359</v>
      </c>
      <c r="C35" s="182">
        <v>35</v>
      </c>
      <c r="D35" s="292"/>
      <c r="E35" s="111"/>
      <c r="F35" s="295"/>
      <c r="H35" s="127"/>
    </row>
    <row r="36" spans="2:8" ht="21" customHeight="1">
      <c r="B36" s="294" t="s">
        <v>181</v>
      </c>
      <c r="C36" s="182">
        <v>36</v>
      </c>
      <c r="D36" s="292"/>
      <c r="E36" s="111"/>
      <c r="F36" s="295"/>
      <c r="H36" s="127"/>
    </row>
    <row r="37" spans="2:8" ht="21" customHeight="1">
      <c r="B37" s="296" t="s">
        <v>182</v>
      </c>
      <c r="C37" s="297">
        <v>40</v>
      </c>
      <c r="D37" s="298"/>
      <c r="E37" s="299"/>
      <c r="F37" s="300"/>
      <c r="H37" s="127"/>
    </row>
    <row r="38" spans="2:8" ht="21" customHeight="1">
      <c r="B38" s="291" t="s">
        <v>183</v>
      </c>
      <c r="C38" s="301">
        <v>50</v>
      </c>
      <c r="D38" s="302"/>
      <c r="E38" s="299"/>
      <c r="F38" s="299"/>
      <c r="H38" s="127"/>
    </row>
    <row r="39" spans="2:8" ht="21" customHeight="1">
      <c r="B39" s="291" t="s">
        <v>184</v>
      </c>
      <c r="C39" s="301">
        <v>60</v>
      </c>
      <c r="D39" s="302"/>
      <c r="E39" s="303"/>
      <c r="F39" s="304"/>
      <c r="G39" s="251"/>
      <c r="H39" s="127"/>
    </row>
    <row r="40" spans="2:8" ht="21" customHeight="1">
      <c r="B40" s="294" t="s">
        <v>185</v>
      </c>
      <c r="C40" s="182">
        <v>61</v>
      </c>
      <c r="D40" s="292"/>
      <c r="E40" s="264"/>
      <c r="F40" s="264"/>
      <c r="H40" s="127"/>
    </row>
    <row r="41" spans="2:8" ht="21" customHeight="1">
      <c r="B41" s="305" t="s">
        <v>186</v>
      </c>
      <c r="C41" s="306">
        <v>70</v>
      </c>
      <c r="D41" s="307"/>
      <c r="E41" s="308"/>
      <c r="F41" s="308"/>
      <c r="G41" s="251"/>
      <c r="H41" s="127">
        <f>E41-G41</f>
        <v>0</v>
      </c>
    </row>
    <row r="42" spans="2:8" ht="21" customHeight="1">
      <c r="B42" s="230"/>
    </row>
    <row r="43" spans="2:8" ht="21" customHeight="1">
      <c r="B43" s="309"/>
      <c r="E43" s="286" t="str">
        <f>Ttin!C6</f>
        <v>Ngày 31/05/2024</v>
      </c>
      <c r="F43" s="89"/>
    </row>
    <row r="44" spans="2:8" ht="21" customHeight="1">
      <c r="B44" s="310" t="s">
        <v>197</v>
      </c>
      <c r="C44" s="311"/>
      <c r="D44" s="311"/>
      <c r="E44" s="312" t="s">
        <v>187</v>
      </c>
      <c r="F44" s="89"/>
    </row>
    <row r="45" spans="2:8" ht="21" customHeight="1">
      <c r="B45" s="313"/>
      <c r="C45" s="392"/>
      <c r="D45" s="392"/>
      <c r="E45" s="314"/>
      <c r="F45" s="89"/>
    </row>
    <row r="46" spans="2:8" ht="21" customHeight="1"/>
    <row r="48" spans="2:8">
      <c r="B48" s="120" t="str">
        <f>"                  "&amp;Ttin!C10&amp;"                                "&amp;Ttin!C9</f>
        <v xml:space="preserve">                  Bùi Ngọc Thủy Tiên                                Lâm Văn Bền</v>
      </c>
      <c r="E48" s="393" t="str">
        <f>Ttin!C8</f>
        <v>Hồ Ngọc Linh</v>
      </c>
      <c r="F48" s="394"/>
    </row>
  </sheetData>
  <sheetProtection formatCells="0" formatColumns="0" formatRows="0" insertColumns="0" insertRows="0" deleteColumns="0" deleteRows="0" autoFilter="0"/>
  <mergeCells count="2">
    <mergeCell ref="C45:D45"/>
    <mergeCell ref="E48:F48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Ttin</vt:lpstr>
      <vt:lpstr>Thue TNCN</vt:lpstr>
      <vt:lpstr>Kho</vt:lpstr>
      <vt:lpstr>Luong - BH</vt:lpstr>
      <vt:lpstr>NhatKy</vt:lpstr>
      <vt:lpstr>CDPS</vt:lpstr>
      <vt:lpstr>CDKT</vt:lpstr>
      <vt:lpstr>KQKD</vt:lpstr>
      <vt:lpstr>LCTT</vt:lpstr>
      <vt:lpstr>CDPS</vt:lpstr>
      <vt:lpstr>CDPS_taikhoan</vt:lpstr>
      <vt:lpstr>nhatky</vt:lpstr>
      <vt:lpstr>nhatky_dongchi</vt:lpstr>
      <vt:lpstr>nhatky_dongthu</vt:lpstr>
      <vt:lpstr>nhatky_sochungtu</vt:lpstr>
      <vt:lpstr>nhatky_sotien</vt:lpstr>
      <vt:lpstr>nhatky_tkco</vt:lpstr>
      <vt:lpstr>nhatky_tkno</vt:lpstr>
      <vt:lpstr>CDKT!Print_Area</vt:lpstr>
      <vt:lpstr>CDPS!Print_Area</vt:lpstr>
      <vt:lpstr>KQKD!Print_Area</vt:lpstr>
      <vt:lpstr>LCTT!Print_Area</vt:lpstr>
      <vt:lpstr>NhatKy!Print_Area</vt:lpstr>
      <vt:lpstr>CDPS!Print_Titles</vt:lpstr>
      <vt:lpstr>NhatKy!Print_Titles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PHUC HANG</cp:lastModifiedBy>
  <cp:lastPrinted>2020-11-12T00:21:58Z</cp:lastPrinted>
  <dcterms:created xsi:type="dcterms:W3CDTF">2002-11-02T02:45:08Z</dcterms:created>
  <dcterms:modified xsi:type="dcterms:W3CDTF">2024-04-08T03:57:29Z</dcterms:modified>
</cp:coreProperties>
</file>