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C3BC3A55-2712-4663-8221-C872D36F2502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bang tinh luu luong" sheetId="1" r:id="rId1"/>
    <sheet name="Bang thong so thuy luc" sheetId="6" r:id="rId2"/>
    <sheet name="noi su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2" i="1"/>
  <c r="I21" i="1"/>
  <c r="I20" i="1"/>
  <c r="I19" i="1"/>
  <c r="I16" i="1"/>
  <c r="I14" i="1"/>
  <c r="I11" i="1"/>
  <c r="I10" i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5" i="6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A9" i="1"/>
  <c r="P25" i="1"/>
  <c r="P22" i="1"/>
  <c r="O22" i="1"/>
  <c r="P21" i="1"/>
  <c r="O21" i="1"/>
  <c r="D6" i="6" l="1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M3" i="3"/>
  <c r="D4" i="3"/>
  <c r="D3" i="3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5" i="6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3" i="3"/>
  <c r="N20" i="3"/>
  <c r="M20" i="3"/>
  <c r="L20" i="3"/>
  <c r="N19" i="3"/>
  <c r="M19" i="3"/>
  <c r="L19" i="3"/>
  <c r="N18" i="3"/>
  <c r="M18" i="3"/>
  <c r="L18" i="3"/>
  <c r="N17" i="3"/>
  <c r="M17" i="3"/>
  <c r="L17" i="3"/>
  <c r="N16" i="3"/>
  <c r="M16" i="3"/>
  <c r="L16" i="3"/>
  <c r="N15" i="3"/>
  <c r="M15" i="3"/>
  <c r="L15" i="3"/>
  <c r="N14" i="3"/>
  <c r="M14" i="3"/>
  <c r="L14" i="3"/>
  <c r="N13" i="3"/>
  <c r="M13" i="3"/>
  <c r="L13" i="3"/>
  <c r="N12" i="3"/>
  <c r="M12" i="3"/>
  <c r="L12" i="3"/>
  <c r="N11" i="3"/>
  <c r="M11" i="3"/>
  <c r="L11" i="3"/>
  <c r="N10" i="3"/>
  <c r="M10" i="3"/>
  <c r="L10" i="3"/>
  <c r="N9" i="3"/>
  <c r="M9" i="3"/>
  <c r="L9" i="3"/>
  <c r="N8" i="3"/>
  <c r="M8" i="3"/>
  <c r="L8" i="3"/>
  <c r="N7" i="3"/>
  <c r="M7" i="3"/>
  <c r="L7" i="3"/>
  <c r="R7" i="3" s="1"/>
  <c r="N6" i="3"/>
  <c r="M6" i="3"/>
  <c r="L6" i="3"/>
  <c r="R6" i="3" s="1"/>
  <c r="N5" i="3"/>
  <c r="M5" i="3"/>
  <c r="L5" i="3"/>
  <c r="N4" i="3"/>
  <c r="M4" i="3"/>
  <c r="L4" i="3"/>
  <c r="N3" i="3"/>
  <c r="L3" i="3"/>
  <c r="G9" i="1"/>
  <c r="G12" i="1"/>
  <c r="G13" i="1"/>
  <c r="G15" i="1"/>
  <c r="G18" i="1"/>
  <c r="G19" i="1"/>
  <c r="G21" i="1"/>
  <c r="G23" i="1"/>
  <c r="G24" i="1"/>
  <c r="G8" i="1"/>
  <c r="E22" i="1"/>
  <c r="G22" i="1" s="1"/>
  <c r="E20" i="1"/>
  <c r="G20" i="1" s="1"/>
  <c r="E17" i="1"/>
  <c r="G17" i="1" s="1"/>
  <c r="E16" i="1"/>
  <c r="G16" i="1" s="1"/>
  <c r="E14" i="1"/>
  <c r="G14" i="1" s="1"/>
  <c r="E11" i="1"/>
  <c r="G11" i="1" s="1"/>
  <c r="E10" i="1"/>
  <c r="R19" i="3" l="1"/>
  <c r="R8" i="3"/>
  <c r="R4" i="3"/>
  <c r="R20" i="3"/>
  <c r="R18" i="3"/>
  <c r="R10" i="3"/>
  <c r="R16" i="3"/>
  <c r="R13" i="3"/>
  <c r="R17" i="3"/>
  <c r="R15" i="3"/>
  <c r="R14" i="3"/>
  <c r="R12" i="3"/>
  <c r="R11" i="3"/>
  <c r="R9" i="3"/>
  <c r="R5" i="3"/>
  <c r="P12" i="3"/>
  <c r="R3" i="3"/>
  <c r="P4" i="3"/>
  <c r="P20" i="3"/>
  <c r="P13" i="3"/>
  <c r="P9" i="3"/>
  <c r="P18" i="3"/>
  <c r="P10" i="3"/>
  <c r="P14" i="3"/>
  <c r="P11" i="3"/>
  <c r="P3" i="3"/>
  <c r="P19" i="3"/>
  <c r="P5" i="3"/>
  <c r="P6" i="3"/>
  <c r="P7" i="3"/>
  <c r="P17" i="3"/>
  <c r="P8" i="3"/>
  <c r="P16" i="3"/>
  <c r="P15" i="3"/>
  <c r="G10" i="1"/>
  <c r="Q8" i="1" l="1"/>
  <c r="G25" i="1"/>
  <c r="J25" i="1" s="1"/>
  <c r="K25" i="1" s="1"/>
  <c r="J23" i="1"/>
  <c r="J8" i="1"/>
  <c r="K8" i="1" s="1"/>
  <c r="K23" i="1" l="1"/>
  <c r="L23" i="1" s="1"/>
  <c r="R23" i="1" s="1"/>
  <c r="C20" i="6" s="1"/>
  <c r="L8" i="1"/>
  <c r="L25" i="1"/>
  <c r="R25" i="1" s="1"/>
  <c r="J20" i="1"/>
  <c r="K20" i="1" s="1"/>
  <c r="B20" i="3" l="1"/>
  <c r="O20" i="3" s="1"/>
  <c r="S20" i="3" s="1"/>
  <c r="G22" i="6" s="1"/>
  <c r="C22" i="6"/>
  <c r="B18" i="3"/>
  <c r="O18" i="3" s="1"/>
  <c r="S18" i="3" s="1"/>
  <c r="G20" i="6" s="1"/>
  <c r="L20" i="1"/>
  <c r="R20" i="1" s="1"/>
  <c r="C17" i="6" s="1"/>
  <c r="J19" i="1"/>
  <c r="K19" i="1" l="1"/>
  <c r="L19" i="1" s="1"/>
  <c r="R19" i="1" s="1"/>
  <c r="Q20" i="3"/>
  <c r="F22" i="6" s="1"/>
  <c r="Q18" i="3"/>
  <c r="F20" i="6" s="1"/>
  <c r="B15" i="3"/>
  <c r="O15" i="3" s="1"/>
  <c r="S15" i="3" s="1"/>
  <c r="G17" i="6" s="1"/>
  <c r="J21" i="1"/>
  <c r="K21" i="1" s="1"/>
  <c r="J10" i="1"/>
  <c r="K10" i="1" s="1"/>
  <c r="R8" i="1"/>
  <c r="C5" i="6" s="1"/>
  <c r="C16" i="6" l="1"/>
  <c r="B14" i="3"/>
  <c r="O14" i="3" s="1"/>
  <c r="S14" i="3" s="1"/>
  <c r="G16" i="6" s="1"/>
  <c r="B3" i="3"/>
  <c r="O3" i="3" s="1"/>
  <c r="S3" i="3" s="1"/>
  <c r="G5" i="6" s="1"/>
  <c r="Q15" i="3"/>
  <c r="F17" i="6" s="1"/>
  <c r="L21" i="1"/>
  <c r="R21" i="1" s="1"/>
  <c r="C18" i="6" s="1"/>
  <c r="L10" i="1"/>
  <c r="R10" i="1" s="1"/>
  <c r="C7" i="6" s="1"/>
  <c r="J11" i="1"/>
  <c r="J12" i="1"/>
  <c r="K12" i="1" s="1"/>
  <c r="J9" i="1"/>
  <c r="Q14" i="3" l="1"/>
  <c r="F16" i="6" s="1"/>
  <c r="K9" i="1"/>
  <c r="L9" i="1" s="1"/>
  <c r="R9" i="1" s="1"/>
  <c r="K11" i="1"/>
  <c r="L11" i="1" s="1"/>
  <c r="R11" i="1" s="1"/>
  <c r="B5" i="3"/>
  <c r="O5" i="3" s="1"/>
  <c r="S5" i="3" s="1"/>
  <c r="G7" i="6" s="1"/>
  <c r="B16" i="3"/>
  <c r="O16" i="3" s="1"/>
  <c r="S16" i="3" s="1"/>
  <c r="G18" i="6" s="1"/>
  <c r="Q3" i="3"/>
  <c r="F5" i="6" s="1"/>
  <c r="J13" i="1"/>
  <c r="L12" i="1"/>
  <c r="R12" i="1" s="1"/>
  <c r="C9" i="6" s="1"/>
  <c r="J14" i="1"/>
  <c r="K14" i="1" s="1"/>
  <c r="C6" i="6" l="1"/>
  <c r="B4" i="3"/>
  <c r="O4" i="3" s="1"/>
  <c r="S4" i="3" s="1"/>
  <c r="G6" i="6" s="1"/>
  <c r="K13" i="1"/>
  <c r="L13" i="1" s="1"/>
  <c r="R13" i="1" s="1"/>
  <c r="C8" i="6"/>
  <c r="B6" i="3"/>
  <c r="O6" i="3" s="1"/>
  <c r="S6" i="3" s="1"/>
  <c r="G8" i="6" s="1"/>
  <c r="Q16" i="3"/>
  <c r="F18" i="6" s="1"/>
  <c r="Q5" i="3"/>
  <c r="F7" i="6" s="1"/>
  <c r="B7" i="3"/>
  <c r="O7" i="3" s="1"/>
  <c r="S7" i="3" s="1"/>
  <c r="G9" i="6" s="1"/>
  <c r="Q4" i="3"/>
  <c r="F6" i="6" s="1"/>
  <c r="J15" i="1"/>
  <c r="K15" i="1" s="1"/>
  <c r="L14" i="1"/>
  <c r="R14" i="1" s="1"/>
  <c r="C11" i="6" s="1"/>
  <c r="Q6" i="3" l="1"/>
  <c r="F8" i="6" s="1"/>
  <c r="C10" i="6"/>
  <c r="B8" i="3"/>
  <c r="O8" i="3" s="1"/>
  <c r="S8" i="3" s="1"/>
  <c r="G10" i="6" s="1"/>
  <c r="B9" i="3"/>
  <c r="O9" i="3" s="1"/>
  <c r="S9" i="3" s="1"/>
  <c r="G11" i="6" s="1"/>
  <c r="Q7" i="3"/>
  <c r="F9" i="6" s="1"/>
  <c r="Q8" i="3"/>
  <c r="F10" i="6" s="1"/>
  <c r="J16" i="1"/>
  <c r="K16" i="1" s="1"/>
  <c r="L15" i="1"/>
  <c r="R15" i="1" s="1"/>
  <c r="C12" i="6" s="1"/>
  <c r="J22" i="1"/>
  <c r="K22" i="1" s="1"/>
  <c r="B10" i="3" l="1"/>
  <c r="O10" i="3" s="1"/>
  <c r="S10" i="3" s="1"/>
  <c r="G12" i="6" s="1"/>
  <c r="Q9" i="3"/>
  <c r="F11" i="6" s="1"/>
  <c r="L22" i="1"/>
  <c r="R22" i="1" s="1"/>
  <c r="C19" i="6" s="1"/>
  <c r="J24" i="1"/>
  <c r="J17" i="1"/>
  <c r="K17" i="1" s="1"/>
  <c r="L16" i="1"/>
  <c r="R16" i="1" s="1"/>
  <c r="C13" i="6" s="1"/>
  <c r="K24" i="1" l="1"/>
  <c r="L24" i="1" s="1"/>
  <c r="R24" i="1" s="1"/>
  <c r="B11" i="3"/>
  <c r="O11" i="3" s="1"/>
  <c r="S11" i="3" s="1"/>
  <c r="G13" i="6" s="1"/>
  <c r="B17" i="3"/>
  <c r="O17" i="3" s="1"/>
  <c r="S17" i="3" s="1"/>
  <c r="G19" i="6" s="1"/>
  <c r="Q10" i="3"/>
  <c r="F12" i="6" s="1"/>
  <c r="J18" i="1"/>
  <c r="K18" i="1" s="1"/>
  <c r="L17" i="1"/>
  <c r="R17" i="1" s="1"/>
  <c r="C14" i="6" s="1"/>
  <c r="C21" i="6" l="1"/>
  <c r="B19" i="3"/>
  <c r="O19" i="3" s="1"/>
  <c r="S19" i="3" s="1"/>
  <c r="G21" i="6" s="1"/>
  <c r="B12" i="3"/>
  <c r="O12" i="3" s="1"/>
  <c r="S12" i="3" s="1"/>
  <c r="G14" i="6" s="1"/>
  <c r="Q11" i="3"/>
  <c r="F13" i="6" s="1"/>
  <c r="Q17" i="3"/>
  <c r="F19" i="6" s="1"/>
  <c r="Q19" i="3"/>
  <c r="F21" i="6" s="1"/>
  <c r="L18" i="1"/>
  <c r="R18" i="1" s="1"/>
  <c r="C15" i="6" s="1"/>
  <c r="B13" i="3" l="1"/>
  <c r="O13" i="3" s="1"/>
  <c r="S13" i="3" s="1"/>
  <c r="G15" i="6" s="1"/>
  <c r="Q12" i="3"/>
  <c r="F14" i="6" s="1"/>
  <c r="Q13" i="3" l="1"/>
  <c r="F15" i="6" s="1"/>
</calcChain>
</file>

<file path=xl/sharedStrings.xml><?xml version="1.0" encoding="utf-8"?>
<sst xmlns="http://schemas.openxmlformats.org/spreadsheetml/2006/main" count="118" uniqueCount="89">
  <si>
    <t>đoạn ống</t>
  </si>
  <si>
    <t>diện tích</t>
  </si>
  <si>
    <t>ký hiệu</t>
  </si>
  <si>
    <t>Qdđ (L/s)</t>
  </si>
  <si>
    <t>Q tập trung</t>
  </si>
  <si>
    <t>Kch</t>
  </si>
  <si>
    <t>-</t>
  </si>
  <si>
    <t>5d</t>
  </si>
  <si>
    <t>6d</t>
  </si>
  <si>
    <t>h/D</t>
  </si>
  <si>
    <t xml:space="preserve">vận chuyển </t>
  </si>
  <si>
    <t>Q (L/s)</t>
  </si>
  <si>
    <t>Q sinh hoạt</t>
  </si>
  <si>
    <t>Qsh vc (l/s)</t>
  </si>
  <si>
    <t>LƯU LƯỢNG TÍNH TOÁN CỦA ĐOẠN ỐNG</t>
  </si>
  <si>
    <t>4a</t>
  </si>
  <si>
    <t>1c</t>
  </si>
  <si>
    <t>1b</t>
  </si>
  <si>
    <t>2b</t>
  </si>
  <si>
    <t>6c</t>
  </si>
  <si>
    <t>3a</t>
  </si>
  <si>
    <t>3b</t>
  </si>
  <si>
    <t>4d</t>
  </si>
  <si>
    <t>2a, 3c</t>
  </si>
  <si>
    <t>Đoạn ống</t>
  </si>
  <si>
    <t>1--12</t>
  </si>
  <si>
    <t>2--3</t>
  </si>
  <si>
    <t>3--11</t>
  </si>
  <si>
    <t>12--11</t>
  </si>
  <si>
    <t>4--5</t>
  </si>
  <si>
    <t>6--5</t>
  </si>
  <si>
    <t>5--9</t>
  </si>
  <si>
    <t>7--8</t>
  </si>
  <si>
    <t>8--9</t>
  </si>
  <si>
    <t>10--9</t>
  </si>
  <si>
    <t>13--18</t>
  </si>
  <si>
    <t>18--17</t>
  </si>
  <si>
    <t>11--17</t>
  </si>
  <si>
    <t>9--16</t>
  </si>
  <si>
    <t>17--16</t>
  </si>
  <si>
    <t>14--15</t>
  </si>
  <si>
    <t>15--16</t>
  </si>
  <si>
    <t>16-TXL</t>
  </si>
  <si>
    <t>Q dd (L/s.ha)</t>
  </si>
  <si>
    <t>1a, 2c</t>
  </si>
  <si>
    <t>1d, 6b</t>
  </si>
  <si>
    <t>3d,4b</t>
  </si>
  <si>
    <t>2d, 5b</t>
  </si>
  <si>
    <t>5c, 6a</t>
  </si>
  <si>
    <t>4c, 5a</t>
  </si>
  <si>
    <t>Ký hiệu</t>
  </si>
  <si>
    <t xml:space="preserve"> 4--5, 6--5</t>
  </si>
  <si>
    <t>3--11, 12--11</t>
  </si>
  <si>
    <t>5--9, 10--9, 8--9</t>
  </si>
  <si>
    <t>Qsh max (L/s)</t>
  </si>
  <si>
    <t>BV</t>
  </si>
  <si>
    <t>TTTM</t>
  </si>
  <si>
    <t>Qttr đ/ố (l/s)</t>
  </si>
  <si>
    <t>Qtt đ/ố
max (L/s)</t>
  </si>
  <si>
    <t>Qtt max (L/s)</t>
  </si>
  <si>
    <t>D (mm)</t>
  </si>
  <si>
    <t>giá trị 
(L/s)</t>
  </si>
  <si>
    <t>qr 
(L/s.ha</t>
  </si>
  <si>
    <t>giá trị 
(m2)</t>
  </si>
  <si>
    <t>Qsh tb
 (l/s)</t>
  </si>
  <si>
    <t>Q
 (L/s)</t>
  </si>
  <si>
    <t xml:space="preserve">tại chỗ </t>
  </si>
  <si>
    <t>TTTM,
 BV</t>
  </si>
  <si>
    <t>15--16,  9--16,
 17--16</t>
  </si>
  <si>
    <t>q</t>
  </si>
  <si>
    <t>q1</t>
  </si>
  <si>
    <t>q2</t>
  </si>
  <si>
    <t>v1</t>
  </si>
  <si>
    <t>v2</t>
  </si>
  <si>
    <t>h/d1</t>
  </si>
  <si>
    <t>h/d2</t>
  </si>
  <si>
    <t>Aq</t>
  </si>
  <si>
    <t>Ah/d</t>
  </si>
  <si>
    <t>Av</t>
  </si>
  <si>
    <t>Aq'</t>
  </si>
  <si>
    <t>(Ah/d)/(A/q)</t>
  </si>
  <si>
    <t>h/D= h/D2 - (A/h)/(Aq)*Aq'</t>
  </si>
  <si>
    <t>Av/Aq</t>
  </si>
  <si>
    <t>THÔNG SỐ THUỶ LỰC</t>
  </si>
  <si>
    <t>i (%0)</t>
  </si>
  <si>
    <t>v (m/s)</t>
  </si>
  <si>
    <t>V=V1+(Av/Aq)*Aq'</t>
  </si>
  <si>
    <t>I (%0)</t>
  </si>
  <si>
    <t>i min (%0)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</si>
</sst>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NewRomanPS-BoldMT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/>
    <xf numFmtId="164" fontId="2" fillId="0" borderId="1" xfId="1" applyNumberFormat="1" applyFont="1" applyFill="1" applyBorder="1"/>
    <xf numFmtId="0" fontId="1" fillId="0" borderId="1" xfId="0" applyFont="1" applyBorder="1"/>
    <xf numFmtId="16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2" fontId="2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2" fontId="0" fillId="0" borderId="1" xfId="0" applyNumberFormat="1" applyBorder="1"/>
    <xf numFmtId="166" fontId="0" fillId="0" borderId="1" xfId="0" applyNumberFormat="1" applyBorder="1"/>
    <xf numFmtId="165" fontId="0" fillId="0" borderId="1" xfId="0" applyNumberFormat="1" applyBorder="1"/>
    <xf numFmtId="0" fontId="5" fillId="0" borderId="1" xfId="0" applyFont="1" applyBorder="1"/>
    <xf numFmtId="0" fontId="6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116010</xdr:colOff>
      <xdr:row>3</xdr:row>
      <xdr:rowOff>18318</xdr:rowOff>
    </xdr:from>
    <xdr:to>
      <xdr:col>35</xdr:col>
      <xdr:colOff>131005</xdr:colOff>
      <xdr:row>24</xdr:row>
      <xdr:rowOff>60375</xdr:rowOff>
    </xdr:to>
    <xdr:pic>
      <xdr:nvPicPr>
        <xdr:cNvPr id="2" name="Picture 1" descr="A drawing of a building&#10;&#10;AI-generated content may be incorrect.">
          <a:extLst>
            <a:ext uri="{FF2B5EF4-FFF2-40B4-BE49-F238E27FC236}">
              <a16:creationId xmlns:a16="http://schemas.microsoft.com/office/drawing/2014/main" id="{CBC70F5A-3C59-C1A1-4FBE-B94B4E310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5673" y="604472"/>
          <a:ext cx="6120765" cy="4316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5"/>
  <sheetViews>
    <sheetView topLeftCell="A3" zoomScale="104" zoomScaleNormal="104" workbookViewId="0">
      <selection activeCell="U15" sqref="U15"/>
    </sheetView>
  </sheetViews>
  <sheetFormatPr defaultColWidth="8.7265625" defaultRowHeight="15.5"/>
  <cols>
    <col min="1" max="2" width="8.7265625" style="1"/>
    <col min="3" max="3" width="8.7265625" style="3"/>
    <col min="4" max="4" width="9.1796875" style="3" customWidth="1"/>
    <col min="5" max="5" width="9" style="3" customWidth="1"/>
    <col min="6" max="6" width="10.26953125" style="3" customWidth="1"/>
    <col min="7" max="7" width="10.81640625" style="3" customWidth="1"/>
    <col min="8" max="8" width="15.26953125" style="3" customWidth="1"/>
    <col min="9" max="9" width="8.26953125" style="3" customWidth="1"/>
    <col min="10" max="10" width="9.7265625" style="3" customWidth="1"/>
    <col min="11" max="11" width="11.453125" style="3" customWidth="1"/>
    <col min="12" max="12" width="9.90625" style="3" customWidth="1"/>
    <col min="13" max="13" width="7.36328125" style="3" customWidth="1"/>
    <col min="14" max="14" width="7.81640625" style="3" customWidth="1"/>
    <col min="15" max="15" width="8.453125" style="3" customWidth="1"/>
    <col min="16" max="16" width="8.1796875" style="3" customWidth="1"/>
    <col min="17" max="17" width="8" style="3" customWidth="1"/>
    <col min="18" max="18" width="11.54296875" style="3" customWidth="1"/>
    <col min="19" max="16384" width="8.7265625" style="1"/>
  </cols>
  <sheetData>
    <row r="2" spans="1:18">
      <c r="E2" s="3" t="s">
        <v>14</v>
      </c>
    </row>
    <row r="3" spans="1:18">
      <c r="E3" s="1"/>
    </row>
    <row r="4" spans="1:18">
      <c r="C4" s="21" t="s">
        <v>0</v>
      </c>
      <c r="D4" s="21" t="s">
        <v>12</v>
      </c>
      <c r="E4" s="21"/>
      <c r="F4" s="21"/>
      <c r="G4" s="21"/>
      <c r="H4" s="21"/>
      <c r="I4" s="21"/>
      <c r="J4" s="21"/>
      <c r="K4" s="21"/>
      <c r="L4" s="21"/>
      <c r="M4" s="21" t="s">
        <v>4</v>
      </c>
      <c r="N4" s="21"/>
      <c r="O4" s="21"/>
      <c r="P4" s="21"/>
      <c r="Q4" s="21"/>
      <c r="R4" s="5"/>
    </row>
    <row r="5" spans="1:18">
      <c r="C5" s="21"/>
      <c r="D5" s="21" t="s">
        <v>43</v>
      </c>
      <c r="E5" s="21"/>
      <c r="F5" s="21"/>
      <c r="G5" s="21"/>
      <c r="H5" s="21" t="s">
        <v>13</v>
      </c>
      <c r="I5" s="21"/>
      <c r="J5" s="22" t="s">
        <v>64</v>
      </c>
      <c r="K5" s="21" t="s">
        <v>5</v>
      </c>
      <c r="L5" s="22" t="s">
        <v>54</v>
      </c>
      <c r="M5" s="22" t="s">
        <v>66</v>
      </c>
      <c r="N5" s="22"/>
      <c r="O5" s="22" t="s">
        <v>10</v>
      </c>
      <c r="P5" s="22"/>
      <c r="Q5" s="22" t="s">
        <v>57</v>
      </c>
      <c r="R5" s="22" t="s">
        <v>58</v>
      </c>
    </row>
    <row r="6" spans="1:18" ht="14.5" customHeight="1">
      <c r="C6" s="21"/>
      <c r="D6" s="21" t="s">
        <v>1</v>
      </c>
      <c r="E6" s="21"/>
      <c r="F6" s="22" t="s">
        <v>62</v>
      </c>
      <c r="G6" s="21" t="s">
        <v>3</v>
      </c>
      <c r="H6" s="21" t="s">
        <v>50</v>
      </c>
      <c r="I6" s="22" t="s">
        <v>61</v>
      </c>
      <c r="J6" s="21"/>
      <c r="K6" s="21"/>
      <c r="L6" s="21"/>
      <c r="M6" s="22"/>
      <c r="N6" s="22"/>
      <c r="O6" s="22"/>
      <c r="P6" s="22"/>
      <c r="Q6" s="22"/>
      <c r="R6" s="21"/>
    </row>
    <row r="7" spans="1:18" ht="30">
      <c r="C7" s="21"/>
      <c r="D7" s="9" t="s">
        <v>50</v>
      </c>
      <c r="E7" s="8" t="s">
        <v>63</v>
      </c>
      <c r="F7" s="21"/>
      <c r="G7" s="21"/>
      <c r="H7" s="21"/>
      <c r="I7" s="21"/>
      <c r="J7" s="21"/>
      <c r="K7" s="21"/>
      <c r="L7" s="21"/>
      <c r="M7" s="9" t="s">
        <v>2</v>
      </c>
      <c r="N7" s="10" t="s">
        <v>11</v>
      </c>
      <c r="O7" s="9" t="s">
        <v>2</v>
      </c>
      <c r="P7" s="8" t="s">
        <v>65</v>
      </c>
      <c r="Q7" s="22"/>
      <c r="R7" s="21"/>
    </row>
    <row r="8" spans="1:18">
      <c r="C8" s="14" t="s">
        <v>25</v>
      </c>
      <c r="D8" s="5" t="s">
        <v>16</v>
      </c>
      <c r="E8" s="15">
        <v>1563</v>
      </c>
      <c r="F8" s="5">
        <v>1.1599999999999999</v>
      </c>
      <c r="G8" s="6">
        <f>F8*E8/10000</f>
        <v>0.181308</v>
      </c>
      <c r="H8" s="11" t="s">
        <v>6</v>
      </c>
      <c r="I8" s="5"/>
      <c r="J8" s="6">
        <f>I8+G8</f>
        <v>0.181308</v>
      </c>
      <c r="K8" s="2">
        <f>1.35+3.22/(J8)^0.2</f>
        <v>5.8807748201452625</v>
      </c>
      <c r="L8" s="2">
        <f>K8*J8</f>
        <v>1.0662315210908972</v>
      </c>
      <c r="M8" s="2"/>
      <c r="N8" s="5"/>
      <c r="O8" s="5" t="s">
        <v>6</v>
      </c>
      <c r="P8" s="5"/>
      <c r="Q8" s="5">
        <f>N8+P8</f>
        <v>0</v>
      </c>
      <c r="R8" s="2">
        <f>L8+Q8</f>
        <v>1.0662315210908972</v>
      </c>
    </row>
    <row r="9" spans="1:18">
      <c r="A9" s="1">
        <f>500*200/86400</f>
        <v>1.1574074074074074</v>
      </c>
      <c r="C9" s="4" t="s">
        <v>26</v>
      </c>
      <c r="D9" s="5" t="s">
        <v>17</v>
      </c>
      <c r="E9" s="15">
        <v>1269</v>
      </c>
      <c r="F9" s="5">
        <v>1.1599999999999999</v>
      </c>
      <c r="G9" s="6">
        <f t="shared" ref="G9:G24" si="0">F9*E9/10000</f>
        <v>0.147204</v>
      </c>
      <c r="H9" s="11" t="s">
        <v>6</v>
      </c>
      <c r="I9" s="6"/>
      <c r="J9" s="6">
        <f>G9+I9</f>
        <v>0.147204</v>
      </c>
      <c r="K9" s="2">
        <f t="shared" ref="K9:K25" si="1">1.35+3.22/(J9)^0.2</f>
        <v>6.0735873343450351</v>
      </c>
      <c r="L9" s="2">
        <f t="shared" ref="L9:L25" si="2">K9*J9</f>
        <v>0.89405634996492656</v>
      </c>
      <c r="M9" s="2"/>
      <c r="N9" s="5"/>
      <c r="O9" s="5" t="s">
        <v>6</v>
      </c>
      <c r="P9" s="5"/>
      <c r="Q9" s="5">
        <f t="shared" ref="Q9:Q25" si="3">N9+P9</f>
        <v>0</v>
      </c>
      <c r="R9" s="2">
        <f t="shared" ref="R9:R25" si="4">L9+Q9</f>
        <v>0.89405634996492656</v>
      </c>
    </row>
    <row r="10" spans="1:18">
      <c r="C10" s="4" t="s">
        <v>27</v>
      </c>
      <c r="D10" s="5" t="s">
        <v>44</v>
      </c>
      <c r="E10" s="15">
        <f>1563+1341</f>
        <v>2904</v>
      </c>
      <c r="F10" s="5">
        <v>1.1599999999999999</v>
      </c>
      <c r="G10" s="6">
        <f t="shared" si="0"/>
        <v>0.336864</v>
      </c>
      <c r="H10" s="11" t="s">
        <v>26</v>
      </c>
      <c r="I10" s="6">
        <f>J9</f>
        <v>0.147204</v>
      </c>
      <c r="J10" s="6">
        <f>I10+G10</f>
        <v>0.484068</v>
      </c>
      <c r="K10" s="2">
        <f t="shared" si="1"/>
        <v>5.0728419319201263</v>
      </c>
      <c r="L10" s="2">
        <f t="shared" si="2"/>
        <v>2.4556004483007117</v>
      </c>
      <c r="M10" s="2"/>
      <c r="N10" s="5"/>
      <c r="O10" s="5" t="s">
        <v>6</v>
      </c>
      <c r="P10" s="5"/>
      <c r="Q10" s="5">
        <f t="shared" si="3"/>
        <v>0</v>
      </c>
      <c r="R10" s="2">
        <f t="shared" si="4"/>
        <v>2.4556004483007117</v>
      </c>
    </row>
    <row r="11" spans="1:18">
      <c r="C11" s="4" t="s">
        <v>28</v>
      </c>
      <c r="D11" s="5" t="s">
        <v>45</v>
      </c>
      <c r="E11" s="15">
        <f>1269+1448</f>
        <v>2717</v>
      </c>
      <c r="F11" s="5">
        <v>1.1599999999999999</v>
      </c>
      <c r="G11" s="6">
        <f t="shared" si="0"/>
        <v>0.31517200000000001</v>
      </c>
      <c r="H11" s="11" t="s">
        <v>25</v>
      </c>
      <c r="I11" s="6">
        <f>J8</f>
        <v>0.181308</v>
      </c>
      <c r="J11" s="6">
        <f>I11+G11</f>
        <v>0.49648000000000003</v>
      </c>
      <c r="K11" s="2">
        <f t="shared" si="1"/>
        <v>5.054038738222836</v>
      </c>
      <c r="L11" s="2">
        <f t="shared" si="2"/>
        <v>2.5092291527528738</v>
      </c>
      <c r="M11" s="2"/>
      <c r="N11" s="5"/>
      <c r="O11" s="5" t="s">
        <v>6</v>
      </c>
      <c r="P11" s="5"/>
      <c r="Q11" s="5">
        <f t="shared" si="3"/>
        <v>0</v>
      </c>
      <c r="R11" s="2">
        <f t="shared" si="4"/>
        <v>2.5092291527528738</v>
      </c>
    </row>
    <row r="12" spans="1:18">
      <c r="C12" s="4" t="s">
        <v>29</v>
      </c>
      <c r="D12" s="5" t="s">
        <v>18</v>
      </c>
      <c r="E12" s="15">
        <v>1129</v>
      </c>
      <c r="F12" s="5">
        <v>1.1599999999999999</v>
      </c>
      <c r="G12" s="6">
        <f t="shared" si="0"/>
        <v>0.130964</v>
      </c>
      <c r="H12" s="11" t="s">
        <v>6</v>
      </c>
      <c r="I12" s="5"/>
      <c r="J12" s="6">
        <f>I12+G12</f>
        <v>0.130964</v>
      </c>
      <c r="K12" s="2">
        <f t="shared" si="1"/>
        <v>6.1853229462016088</v>
      </c>
      <c r="L12" s="2">
        <f t="shared" si="2"/>
        <v>0.8100546343263475</v>
      </c>
      <c r="M12" s="2"/>
      <c r="N12" s="5"/>
      <c r="O12" s="5" t="s">
        <v>6</v>
      </c>
      <c r="P12" s="5"/>
      <c r="Q12" s="5">
        <f t="shared" si="3"/>
        <v>0</v>
      </c>
      <c r="R12" s="2">
        <f t="shared" si="4"/>
        <v>0.8100546343263475</v>
      </c>
    </row>
    <row r="13" spans="1:18">
      <c r="C13" s="4" t="s">
        <v>30</v>
      </c>
      <c r="D13" s="5" t="s">
        <v>21</v>
      </c>
      <c r="E13" s="15">
        <v>1129</v>
      </c>
      <c r="F13" s="5">
        <v>1.1599999999999999</v>
      </c>
      <c r="G13" s="6">
        <f t="shared" si="0"/>
        <v>0.130964</v>
      </c>
      <c r="H13" s="11" t="s">
        <v>6</v>
      </c>
      <c r="I13" s="6"/>
      <c r="J13" s="6">
        <f>I13+G13</f>
        <v>0.130964</v>
      </c>
      <c r="K13" s="2">
        <f t="shared" si="1"/>
        <v>6.1853229462016088</v>
      </c>
      <c r="L13" s="2">
        <f t="shared" si="2"/>
        <v>0.8100546343263475</v>
      </c>
      <c r="M13" s="2"/>
      <c r="N13" s="5"/>
      <c r="O13" s="5" t="s">
        <v>6</v>
      </c>
      <c r="P13" s="5"/>
      <c r="Q13" s="5">
        <f t="shared" si="3"/>
        <v>0</v>
      </c>
      <c r="R13" s="2">
        <f t="shared" si="4"/>
        <v>0.8100546343263475</v>
      </c>
    </row>
    <row r="14" spans="1:18">
      <c r="C14" s="4" t="s">
        <v>31</v>
      </c>
      <c r="D14" s="5" t="s">
        <v>23</v>
      </c>
      <c r="E14" s="15">
        <f>1341+1341</f>
        <v>2682</v>
      </c>
      <c r="F14" s="5">
        <v>1.1599999999999999</v>
      </c>
      <c r="G14" s="6">
        <f t="shared" si="0"/>
        <v>0.311112</v>
      </c>
      <c r="H14" s="11" t="s">
        <v>51</v>
      </c>
      <c r="I14" s="6">
        <f>J12+J13</f>
        <v>0.26192799999999999</v>
      </c>
      <c r="J14" s="6">
        <f>I14+G14</f>
        <v>0.57303999999999999</v>
      </c>
      <c r="K14" s="2">
        <f t="shared" si="1"/>
        <v>4.9493069422669151</v>
      </c>
      <c r="L14" s="2">
        <f t="shared" si="2"/>
        <v>2.836150850196633</v>
      </c>
      <c r="M14" s="2"/>
      <c r="N14" s="5"/>
      <c r="O14" s="5"/>
      <c r="P14" s="5"/>
      <c r="Q14" s="5">
        <f t="shared" si="3"/>
        <v>0</v>
      </c>
      <c r="R14" s="2">
        <f t="shared" si="4"/>
        <v>2.836150850196633</v>
      </c>
    </row>
    <row r="15" spans="1:18">
      <c r="C15" s="4" t="s">
        <v>32</v>
      </c>
      <c r="D15" s="5" t="s">
        <v>20</v>
      </c>
      <c r="E15" s="15">
        <v>1341</v>
      </c>
      <c r="F15" s="5">
        <v>1.1599999999999999</v>
      </c>
      <c r="G15" s="6">
        <f t="shared" si="0"/>
        <v>0.155556</v>
      </c>
      <c r="H15" s="11" t="s">
        <v>6</v>
      </c>
      <c r="I15" s="6"/>
      <c r="J15" s="6">
        <f t="shared" ref="J15:J25" si="5">I15+G15</f>
        <v>0.155556</v>
      </c>
      <c r="K15" s="2">
        <f t="shared" si="1"/>
        <v>6.0217384255263653</v>
      </c>
      <c r="L15" s="2">
        <f t="shared" si="2"/>
        <v>0.93671754252117923</v>
      </c>
      <c r="M15" s="2"/>
      <c r="N15" s="5"/>
      <c r="O15" s="5" t="s">
        <v>6</v>
      </c>
      <c r="P15" s="5"/>
      <c r="Q15" s="5">
        <f t="shared" si="3"/>
        <v>0</v>
      </c>
      <c r="R15" s="2">
        <f t="shared" si="4"/>
        <v>0.93671754252117923</v>
      </c>
    </row>
    <row r="16" spans="1:18">
      <c r="C16" s="4" t="s">
        <v>33</v>
      </c>
      <c r="D16" s="5" t="s">
        <v>46</v>
      </c>
      <c r="E16" s="15">
        <f>1129+1221</f>
        <v>2350</v>
      </c>
      <c r="F16" s="5">
        <v>1.1599999999999999</v>
      </c>
      <c r="G16" s="6">
        <f t="shared" si="0"/>
        <v>0.27260000000000001</v>
      </c>
      <c r="H16" s="11" t="s">
        <v>32</v>
      </c>
      <c r="I16" s="6">
        <f>J15</f>
        <v>0.155556</v>
      </c>
      <c r="J16" s="6">
        <f t="shared" si="5"/>
        <v>0.42815599999999998</v>
      </c>
      <c r="K16" s="2">
        <f t="shared" si="1"/>
        <v>5.1653594951755171</v>
      </c>
      <c r="L16" s="2">
        <f t="shared" si="2"/>
        <v>2.2115796600163686</v>
      </c>
      <c r="M16" s="2" t="s">
        <v>55</v>
      </c>
      <c r="N16" s="5">
        <v>8</v>
      </c>
      <c r="O16" s="5" t="s">
        <v>6</v>
      </c>
      <c r="P16" s="5"/>
      <c r="Q16" s="5">
        <f t="shared" si="3"/>
        <v>8</v>
      </c>
      <c r="R16" s="2">
        <f t="shared" si="4"/>
        <v>10.211579660016369</v>
      </c>
    </row>
    <row r="17" spans="3:18">
      <c r="C17" s="4" t="s">
        <v>34</v>
      </c>
      <c r="D17" s="5" t="s">
        <v>47</v>
      </c>
      <c r="E17" s="15">
        <f>1129+1221</f>
        <v>2350</v>
      </c>
      <c r="F17" s="5">
        <v>1.1599999999999999</v>
      </c>
      <c r="G17" s="6">
        <f t="shared" si="0"/>
        <v>0.27260000000000001</v>
      </c>
      <c r="H17" s="11" t="s">
        <v>6</v>
      </c>
      <c r="I17" s="6"/>
      <c r="J17" s="6">
        <f t="shared" si="5"/>
        <v>0.27260000000000001</v>
      </c>
      <c r="K17" s="2">
        <f t="shared" si="1"/>
        <v>5.5259058778623054</v>
      </c>
      <c r="L17" s="2">
        <f t="shared" si="2"/>
        <v>1.5063619423052645</v>
      </c>
      <c r="M17" s="2"/>
      <c r="N17" s="5"/>
      <c r="O17" s="5" t="s">
        <v>6</v>
      </c>
      <c r="P17" s="5"/>
      <c r="Q17" s="5">
        <f t="shared" si="3"/>
        <v>0</v>
      </c>
      <c r="R17" s="2">
        <f t="shared" si="4"/>
        <v>1.5063619423052645</v>
      </c>
    </row>
    <row r="18" spans="3:18" ht="15.75" customHeight="1">
      <c r="C18" s="4" t="s">
        <v>35</v>
      </c>
      <c r="D18" s="5" t="s">
        <v>19</v>
      </c>
      <c r="E18" s="15">
        <v>1878</v>
      </c>
      <c r="F18" s="5">
        <v>1.1599999999999999</v>
      </c>
      <c r="G18" s="6">
        <f t="shared" si="0"/>
        <v>0.21784800000000001</v>
      </c>
      <c r="H18" s="11" t="s">
        <v>6</v>
      </c>
      <c r="I18" s="2"/>
      <c r="J18" s="6">
        <f t="shared" si="5"/>
        <v>0.21784800000000001</v>
      </c>
      <c r="K18" s="2">
        <f t="shared" si="1"/>
        <v>5.717421988185416</v>
      </c>
      <c r="L18" s="2">
        <f t="shared" si="2"/>
        <v>1.2455289452822167</v>
      </c>
      <c r="N18" s="5"/>
      <c r="O18" s="5"/>
      <c r="P18" s="5"/>
      <c r="Q18" s="5">
        <f t="shared" si="3"/>
        <v>0</v>
      </c>
      <c r="R18" s="2">
        <f t="shared" si="4"/>
        <v>1.2455289452822167</v>
      </c>
    </row>
    <row r="19" spans="3:18">
      <c r="C19" s="4" t="s">
        <v>36</v>
      </c>
      <c r="D19" s="5" t="s">
        <v>8</v>
      </c>
      <c r="E19" s="15">
        <v>1939</v>
      </c>
      <c r="F19" s="5">
        <v>1.1599999999999999</v>
      </c>
      <c r="G19" s="6">
        <f t="shared" si="0"/>
        <v>0.22492399999999999</v>
      </c>
      <c r="H19" s="11" t="s">
        <v>35</v>
      </c>
      <c r="I19" s="6">
        <f>J18</f>
        <v>0.21784800000000001</v>
      </c>
      <c r="J19" s="6">
        <f t="shared" si="5"/>
        <v>0.442772</v>
      </c>
      <c r="K19" s="2">
        <f t="shared" si="1"/>
        <v>5.1398309822171697</v>
      </c>
      <c r="L19" s="2">
        <f t="shared" si="2"/>
        <v>2.2757732436582607</v>
      </c>
      <c r="M19" s="2"/>
      <c r="N19" s="5"/>
      <c r="O19" s="5"/>
      <c r="P19" s="5"/>
      <c r="Q19" s="5">
        <f t="shared" si="3"/>
        <v>0</v>
      </c>
      <c r="R19" s="2">
        <f t="shared" si="4"/>
        <v>2.2757732436582607</v>
      </c>
    </row>
    <row r="20" spans="3:18">
      <c r="C20" s="4" t="s">
        <v>37</v>
      </c>
      <c r="D20" s="5" t="s">
        <v>48</v>
      </c>
      <c r="E20" s="15">
        <f>1459+1880</f>
        <v>3339</v>
      </c>
      <c r="F20" s="5">
        <v>1.1599999999999999</v>
      </c>
      <c r="G20" s="6">
        <f t="shared" si="0"/>
        <v>0.387324</v>
      </c>
      <c r="H20" s="11" t="s">
        <v>52</v>
      </c>
      <c r="I20" s="6">
        <f>J10+J11</f>
        <v>0.98054799999999998</v>
      </c>
      <c r="J20" s="6">
        <f t="shared" si="5"/>
        <v>1.367872</v>
      </c>
      <c r="K20" s="2">
        <f t="shared" si="1"/>
        <v>4.374452580679657</v>
      </c>
      <c r="L20" s="2">
        <f t="shared" si="2"/>
        <v>5.983691200439444</v>
      </c>
      <c r="M20" s="2" t="s">
        <v>56</v>
      </c>
      <c r="N20" s="5">
        <v>8</v>
      </c>
      <c r="O20" s="5" t="s">
        <v>6</v>
      </c>
      <c r="P20" s="5"/>
      <c r="Q20" s="5">
        <f t="shared" si="3"/>
        <v>8</v>
      </c>
      <c r="R20" s="2">
        <f t="shared" si="4"/>
        <v>13.983691200439445</v>
      </c>
    </row>
    <row r="21" spans="3:18">
      <c r="C21" s="4" t="s">
        <v>39</v>
      </c>
      <c r="D21" s="5" t="s">
        <v>7</v>
      </c>
      <c r="E21" s="15">
        <v>1221</v>
      </c>
      <c r="F21" s="5">
        <v>1.1599999999999999</v>
      </c>
      <c r="G21" s="6">
        <f t="shared" si="0"/>
        <v>0.14163599999999998</v>
      </c>
      <c r="H21" s="11" t="s">
        <v>36</v>
      </c>
      <c r="I21" s="6">
        <f>J19</f>
        <v>0.442772</v>
      </c>
      <c r="J21" s="6">
        <f t="shared" si="5"/>
        <v>0.58440800000000004</v>
      </c>
      <c r="K21" s="2">
        <f t="shared" si="1"/>
        <v>4.9351938372053867</v>
      </c>
      <c r="L21" s="2">
        <f t="shared" si="2"/>
        <v>2.8841667600135259</v>
      </c>
      <c r="M21" s="2"/>
      <c r="N21" s="5"/>
      <c r="O21" s="2" t="str">
        <f>M20</f>
        <v>TTTM</v>
      </c>
      <c r="P21" s="5">
        <f>N20</f>
        <v>8</v>
      </c>
      <c r="Q21" s="5">
        <f t="shared" si="3"/>
        <v>8</v>
      </c>
      <c r="R21" s="2">
        <f t="shared" si="4"/>
        <v>10.884166760013526</v>
      </c>
    </row>
    <row r="22" spans="3:18">
      <c r="C22" s="4" t="s">
        <v>38</v>
      </c>
      <c r="D22" s="5" t="s">
        <v>49</v>
      </c>
      <c r="E22" s="15">
        <f>1459+1459</f>
        <v>2918</v>
      </c>
      <c r="F22" s="5">
        <v>1.1599999999999999</v>
      </c>
      <c r="G22" s="6">
        <f t="shared" si="0"/>
        <v>0.33848799999999996</v>
      </c>
      <c r="H22" s="11" t="s">
        <v>53</v>
      </c>
      <c r="I22" s="2">
        <f>J14+J17+J16</f>
        <v>1.2737959999999999</v>
      </c>
      <c r="J22" s="6">
        <f t="shared" si="5"/>
        <v>1.6122839999999998</v>
      </c>
      <c r="K22" s="2">
        <f t="shared" si="1"/>
        <v>4.2766282665116684</v>
      </c>
      <c r="L22" s="2">
        <f t="shared" si="2"/>
        <v>6.8951393280444977</v>
      </c>
      <c r="M22" s="2"/>
      <c r="N22" s="5"/>
      <c r="O22" s="2" t="str">
        <f>M16</f>
        <v>BV</v>
      </c>
      <c r="P22" s="5">
        <f>N16</f>
        <v>8</v>
      </c>
      <c r="Q22" s="5">
        <f t="shared" si="3"/>
        <v>8</v>
      </c>
      <c r="R22" s="2">
        <f t="shared" si="4"/>
        <v>14.895139328044497</v>
      </c>
    </row>
    <row r="23" spans="3:18">
      <c r="C23" s="4" t="s">
        <v>40</v>
      </c>
      <c r="D23" s="5" t="s">
        <v>15</v>
      </c>
      <c r="E23" s="15">
        <v>1459</v>
      </c>
      <c r="F23" s="5">
        <v>1.1599999999999999</v>
      </c>
      <c r="G23" s="6">
        <f t="shared" si="0"/>
        <v>0.16924399999999998</v>
      </c>
      <c r="H23" s="11" t="s">
        <v>6</v>
      </c>
      <c r="I23" s="2"/>
      <c r="J23" s="6">
        <f t="shared" si="5"/>
        <v>0.16924399999999998</v>
      </c>
      <c r="K23" s="2">
        <f t="shared" si="1"/>
        <v>5.9436004264637781</v>
      </c>
      <c r="L23" s="2">
        <f t="shared" si="2"/>
        <v>1.0059187105764356</v>
      </c>
      <c r="M23" s="2"/>
      <c r="N23" s="5"/>
      <c r="O23" s="5" t="s">
        <v>6</v>
      </c>
      <c r="P23" s="5"/>
      <c r="Q23" s="5">
        <f t="shared" si="3"/>
        <v>0</v>
      </c>
      <c r="R23" s="2">
        <f t="shared" si="4"/>
        <v>1.0059187105764356</v>
      </c>
    </row>
    <row r="24" spans="3:18">
      <c r="C24" s="4" t="s">
        <v>41</v>
      </c>
      <c r="D24" s="5" t="s">
        <v>22</v>
      </c>
      <c r="E24" s="15">
        <v>1221</v>
      </c>
      <c r="F24" s="5">
        <v>1.1599999999999999</v>
      </c>
      <c r="G24" s="6">
        <f t="shared" si="0"/>
        <v>0.14163599999999998</v>
      </c>
      <c r="H24" s="11" t="s">
        <v>40</v>
      </c>
      <c r="I24" s="6">
        <f>J23</f>
        <v>0.16924399999999998</v>
      </c>
      <c r="J24" s="6">
        <f t="shared" si="5"/>
        <v>0.31087999999999993</v>
      </c>
      <c r="K24" s="2">
        <f t="shared" si="1"/>
        <v>5.4175913494120351</v>
      </c>
      <c r="L24" s="2">
        <f t="shared" si="2"/>
        <v>1.6842207987052131</v>
      </c>
      <c r="M24" s="2"/>
      <c r="N24" s="5"/>
      <c r="O24" s="5"/>
      <c r="P24" s="5"/>
      <c r="Q24" s="5">
        <f t="shared" si="3"/>
        <v>0</v>
      </c>
      <c r="R24" s="2">
        <f t="shared" si="4"/>
        <v>1.6842207987052131</v>
      </c>
    </row>
    <row r="25" spans="3:18" ht="36.5" customHeight="1">
      <c r="C25" s="17" t="s">
        <v>42</v>
      </c>
      <c r="D25" s="5" t="s">
        <v>6</v>
      </c>
      <c r="E25" s="12"/>
      <c r="F25" s="5">
        <v>1.1599999999999999</v>
      </c>
      <c r="G25" s="6">
        <f t="shared" ref="G25" si="6">F25*E25/10000</f>
        <v>0</v>
      </c>
      <c r="H25" s="13" t="s">
        <v>68</v>
      </c>
      <c r="I25" s="6">
        <f>J24+J22+J21</f>
        <v>2.5075719999999997</v>
      </c>
      <c r="J25" s="6">
        <f t="shared" si="5"/>
        <v>2.5075719999999997</v>
      </c>
      <c r="K25" s="2">
        <f t="shared" si="1"/>
        <v>4.0292003381108561</v>
      </c>
      <c r="L25" s="2">
        <f t="shared" si="2"/>
        <v>10.103509950237314</v>
      </c>
      <c r="M25" s="2"/>
      <c r="N25" s="5"/>
      <c r="O25" s="7" t="s">
        <v>67</v>
      </c>
      <c r="P25" s="5">
        <f>N16+N20</f>
        <v>16</v>
      </c>
      <c r="Q25" s="5">
        <f t="shared" si="3"/>
        <v>16</v>
      </c>
      <c r="R25" s="2">
        <f t="shared" si="4"/>
        <v>26.103509950237314</v>
      </c>
    </row>
  </sheetData>
  <mergeCells count="17">
    <mergeCell ref="M4:Q4"/>
    <mergeCell ref="M5:N6"/>
    <mergeCell ref="O5:P6"/>
    <mergeCell ref="Q5:Q7"/>
    <mergeCell ref="R5:R7"/>
    <mergeCell ref="D4:L4"/>
    <mergeCell ref="C4:C7"/>
    <mergeCell ref="H5:I5"/>
    <mergeCell ref="H6:H7"/>
    <mergeCell ref="D5:G5"/>
    <mergeCell ref="D6:E6"/>
    <mergeCell ref="I6:I7"/>
    <mergeCell ref="J5:J7"/>
    <mergeCell ref="K5:K7"/>
    <mergeCell ref="L5:L7"/>
    <mergeCell ref="F6:F7"/>
    <mergeCell ref="G6:G7"/>
  </mergeCells>
  <pageMargins left="0.7" right="0.7" top="0.75" bottom="0.75" header="0.3" footer="0.3"/>
  <pageSetup orientation="portrait" horizontalDpi="1200" verticalDpi="1200" r:id="rId1"/>
  <ignoredErrors>
    <ignoredError sqref="J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D050-CDC3-44C1-9D3B-00F4C7F30BB3}">
  <dimension ref="B2:G22"/>
  <sheetViews>
    <sheetView workbookViewId="0">
      <selection activeCell="G18" sqref="G18"/>
    </sheetView>
  </sheetViews>
  <sheetFormatPr defaultRowHeight="15.5"/>
  <cols>
    <col min="1" max="1" width="8.7265625" style="1"/>
    <col min="2" max="2" width="11.1796875" style="1" customWidth="1"/>
    <col min="3" max="3" width="14.54296875" style="1" customWidth="1"/>
    <col min="4" max="16384" width="8.7265625" style="1"/>
  </cols>
  <sheetData>
    <row r="2" spans="2:7">
      <c r="E2" s="1" t="s">
        <v>83</v>
      </c>
    </row>
    <row r="4" spans="2:7">
      <c r="B4" s="16" t="s">
        <v>24</v>
      </c>
      <c r="C4" s="16" t="s">
        <v>59</v>
      </c>
      <c r="D4" s="16" t="s">
        <v>60</v>
      </c>
      <c r="E4" s="16" t="s">
        <v>84</v>
      </c>
      <c r="F4" s="16" t="s">
        <v>9</v>
      </c>
      <c r="G4" s="16" t="s">
        <v>85</v>
      </c>
    </row>
    <row r="5" spans="2:7">
      <c r="B5" s="14" t="str">
        <f>'bang tinh luu luong'!C8</f>
        <v>1--12</v>
      </c>
      <c r="C5" s="20">
        <f>'bang tinh luu luong'!R8</f>
        <v>1.0662315210908972</v>
      </c>
      <c r="D5" s="4">
        <f>'noi suy'!C3</f>
        <v>150</v>
      </c>
      <c r="E5" s="4">
        <f>'noi suy'!E3</f>
        <v>8</v>
      </c>
      <c r="F5" s="4">
        <f>'noi suy'!Q3</f>
        <v>0.16</v>
      </c>
      <c r="G5" s="20">
        <f>'noi suy'!S3</f>
        <v>0.4403745692212675</v>
      </c>
    </row>
    <row r="6" spans="2:7">
      <c r="B6" s="14" t="str">
        <f>'bang tinh luu luong'!C9</f>
        <v>2--3</v>
      </c>
      <c r="C6" s="20">
        <f>'bang tinh luu luong'!R9</f>
        <v>0.89405634996492656</v>
      </c>
      <c r="D6" s="4">
        <f>'noi suy'!C4</f>
        <v>150</v>
      </c>
      <c r="E6" s="4">
        <f>'noi suy'!E4</f>
        <v>8</v>
      </c>
      <c r="F6" s="4">
        <f>'noi suy'!Q4</f>
        <v>0.17</v>
      </c>
      <c r="G6" s="20">
        <f>'noi suy'!S4</f>
        <v>0.41438586414564932</v>
      </c>
    </row>
    <row r="7" spans="2:7">
      <c r="B7" s="14" t="str">
        <f>'bang tinh luu luong'!C10</f>
        <v>3--11</v>
      </c>
      <c r="C7" s="20">
        <f>'bang tinh luu luong'!R10</f>
        <v>2.4556004483007117</v>
      </c>
      <c r="D7" s="4">
        <f>'noi suy'!C5</f>
        <v>250</v>
      </c>
      <c r="E7" s="4">
        <f>'noi suy'!E5</f>
        <v>5</v>
      </c>
      <c r="F7" s="4">
        <f>'noi suy'!Q5</f>
        <v>0.18</v>
      </c>
      <c r="G7" s="20">
        <f>'noi suy'!S5</f>
        <v>0.44434547492275961</v>
      </c>
    </row>
    <row r="8" spans="2:7">
      <c r="B8" s="14" t="str">
        <f>'bang tinh luu luong'!C11</f>
        <v>12--11</v>
      </c>
      <c r="C8" s="20">
        <f>'bang tinh luu luong'!R11</f>
        <v>2.5092291527528738</v>
      </c>
      <c r="D8" s="4">
        <f>'noi suy'!C6</f>
        <v>250</v>
      </c>
      <c r="E8" s="4">
        <f>'noi suy'!E6</f>
        <v>5</v>
      </c>
      <c r="F8" s="4">
        <f>'noi suy'!Q6</f>
        <v>0.18</v>
      </c>
      <c r="G8" s="20">
        <f>'noi suy'!S6</f>
        <v>0.44678314330694879</v>
      </c>
    </row>
    <row r="9" spans="2:7">
      <c r="B9" s="14" t="str">
        <f>'bang tinh luu luong'!C12</f>
        <v>4--5</v>
      </c>
      <c r="C9" s="20">
        <f>'bang tinh luu luong'!R12</f>
        <v>0.8100546343263475</v>
      </c>
      <c r="D9" s="4">
        <f>'noi suy'!C7</f>
        <v>150</v>
      </c>
      <c r="E9" s="4">
        <f>'noi suy'!E7</f>
        <v>8</v>
      </c>
      <c r="F9" s="4">
        <f>'noi suy'!Q7</f>
        <v>0.18</v>
      </c>
      <c r="G9" s="20">
        <f>'noi suy'!S7</f>
        <v>0.4017063598983166</v>
      </c>
    </row>
    <row r="10" spans="2:7">
      <c r="B10" s="14" t="str">
        <f>'bang tinh luu luong'!C13</f>
        <v>6--5</v>
      </c>
      <c r="C10" s="20">
        <f>'bang tinh luu luong'!R13</f>
        <v>0.8100546343263475</v>
      </c>
      <c r="D10" s="4">
        <f>'noi suy'!C8</f>
        <v>150</v>
      </c>
      <c r="E10" s="4">
        <f>'noi suy'!E8</f>
        <v>8</v>
      </c>
      <c r="F10" s="4">
        <f>'noi suy'!Q8</f>
        <v>0.18</v>
      </c>
      <c r="G10" s="20">
        <f>'noi suy'!S8</f>
        <v>0.4017063598983166</v>
      </c>
    </row>
    <row r="11" spans="2:7">
      <c r="B11" s="14" t="str">
        <f>'bang tinh luu luong'!C14</f>
        <v>5--9</v>
      </c>
      <c r="C11" s="20">
        <f>'bang tinh luu luong'!R14</f>
        <v>2.836150850196633</v>
      </c>
      <c r="D11" s="4">
        <f>'noi suy'!C9</f>
        <v>250</v>
      </c>
      <c r="E11" s="4">
        <f>'noi suy'!E9</f>
        <v>5</v>
      </c>
      <c r="F11" s="4">
        <f>'noi suy'!Q9</f>
        <v>0.17</v>
      </c>
      <c r="G11" s="20">
        <f>'noi suy'!S9</f>
        <v>0.46164322046348333</v>
      </c>
    </row>
    <row r="12" spans="2:7">
      <c r="B12" s="14" t="str">
        <f>'bang tinh luu luong'!C15</f>
        <v>7--8</v>
      </c>
      <c r="C12" s="20">
        <f>'bang tinh luu luong'!R15</f>
        <v>0.93671754252117923</v>
      </c>
      <c r="D12" s="4">
        <f>'noi suy'!C10</f>
        <v>150</v>
      </c>
      <c r="E12" s="4">
        <f>'noi suy'!E10</f>
        <v>8</v>
      </c>
      <c r="F12" s="4">
        <f>'noi suy'!Q10</f>
        <v>0.17</v>
      </c>
      <c r="G12" s="20">
        <f>'noi suy'!S10</f>
        <v>0.42082528943715913</v>
      </c>
    </row>
    <row r="13" spans="2:7">
      <c r="B13" s="14" t="str">
        <f>'bang tinh luu luong'!C16</f>
        <v>8--9</v>
      </c>
      <c r="C13" s="20">
        <f>'bang tinh luu luong'!R16</f>
        <v>10.211579660016369</v>
      </c>
      <c r="D13" s="4">
        <f>'noi suy'!C11</f>
        <v>250</v>
      </c>
      <c r="E13" s="4">
        <f>'noi suy'!E11</f>
        <v>6</v>
      </c>
      <c r="F13" s="4">
        <f>'noi suy'!Q11</f>
        <v>0.32</v>
      </c>
      <c r="G13" s="20">
        <f>'noi suy'!S11</f>
        <v>0.71692395038903967</v>
      </c>
    </row>
    <row r="14" spans="2:7">
      <c r="B14" s="14" t="str">
        <f>'bang tinh luu luong'!C17</f>
        <v>10--9</v>
      </c>
      <c r="C14" s="20">
        <f>'bang tinh luu luong'!R17</f>
        <v>1.5063619423052645</v>
      </c>
      <c r="D14" s="4">
        <f>'noi suy'!C12</f>
        <v>200</v>
      </c>
      <c r="E14" s="4">
        <f>'noi suy'!E12</f>
        <v>8</v>
      </c>
      <c r="F14" s="4">
        <f>'noi suy'!Q12</f>
        <v>0.19</v>
      </c>
      <c r="G14" s="20">
        <f>'noi suy'!S12</f>
        <v>0.46399306056773254</v>
      </c>
    </row>
    <row r="15" spans="2:7">
      <c r="B15" s="14" t="str">
        <f>'bang tinh luu luong'!C18</f>
        <v>13--18</v>
      </c>
      <c r="C15" s="20">
        <f>'bang tinh luu luong'!R18</f>
        <v>1.2455289452822167</v>
      </c>
      <c r="D15" s="4">
        <f>'noi suy'!C13</f>
        <v>200</v>
      </c>
      <c r="E15" s="4">
        <f>'noi suy'!E13</f>
        <v>8</v>
      </c>
      <c r="F15" s="4">
        <f>'noi suy'!Q13</f>
        <v>0.11</v>
      </c>
      <c r="G15" s="20">
        <f>'noi suy'!S13</f>
        <v>0.42854987735839728</v>
      </c>
    </row>
    <row r="16" spans="2:7">
      <c r="B16" s="14" t="str">
        <f>'bang tinh luu luong'!C19</f>
        <v>18--17</v>
      </c>
      <c r="C16" s="20">
        <f>'bang tinh luu luong'!R19</f>
        <v>2.2757732436582607</v>
      </c>
      <c r="D16" s="4">
        <f>'noi suy'!C14</f>
        <v>200</v>
      </c>
      <c r="E16" s="4">
        <f>'noi suy'!E14</f>
        <v>8</v>
      </c>
      <c r="F16" s="4">
        <f>'noi suy'!Q14</f>
        <v>0.16</v>
      </c>
      <c r="G16" s="20">
        <f>'noi suy'!S14</f>
        <v>0.52870989899929299</v>
      </c>
    </row>
    <row r="17" spans="2:7">
      <c r="B17" s="14" t="str">
        <f>'bang tinh luu luong'!C20</f>
        <v>11--17</v>
      </c>
      <c r="C17" s="20">
        <f>'bang tinh luu luong'!R20</f>
        <v>13.983691200439445</v>
      </c>
      <c r="D17" s="4">
        <f>'noi suy'!C15</f>
        <v>250</v>
      </c>
      <c r="E17" s="4">
        <f>'noi suy'!E15</f>
        <v>6</v>
      </c>
      <c r="F17" s="4">
        <f>'noi suy'!Q15</f>
        <v>0.36</v>
      </c>
      <c r="G17" s="20">
        <f>'noi suy'!S15</f>
        <v>0.78879438546253544</v>
      </c>
    </row>
    <row r="18" spans="2:7">
      <c r="B18" s="14" t="str">
        <f>'bang tinh luu luong'!C21</f>
        <v>17--16</v>
      </c>
      <c r="C18" s="20">
        <f>'bang tinh luu luong'!R21</f>
        <v>10.884166760013526</v>
      </c>
      <c r="D18" s="4">
        <f>'noi suy'!C16</f>
        <v>250</v>
      </c>
      <c r="E18" s="4">
        <f>'noi suy'!E16</f>
        <v>6</v>
      </c>
      <c r="F18" s="4">
        <f>'noi suy'!Q16</f>
        <v>0.31</v>
      </c>
      <c r="G18" s="20">
        <f>'noi suy'!S16</f>
        <v>0.73118374756212423</v>
      </c>
    </row>
    <row r="19" spans="2:7">
      <c r="B19" s="14" t="str">
        <f>'bang tinh luu luong'!C22</f>
        <v>9--16</v>
      </c>
      <c r="C19" s="20">
        <f>'bang tinh luu luong'!R22</f>
        <v>14.895139328044497</v>
      </c>
      <c r="D19" s="4">
        <f>'noi suy'!C17</f>
        <v>250</v>
      </c>
      <c r="E19" s="4">
        <f>'noi suy'!E17</f>
        <v>6</v>
      </c>
      <c r="F19" s="4">
        <f>'noi suy'!Q17</f>
        <v>0.45</v>
      </c>
      <c r="G19" s="20">
        <f>'noi suy'!S17</f>
        <v>0.80347222738875879</v>
      </c>
    </row>
    <row r="20" spans="2:7">
      <c r="B20" s="14" t="str">
        <f>'bang tinh luu luong'!C23</f>
        <v>14--15</v>
      </c>
      <c r="C20" s="20">
        <f>'bang tinh luu luong'!R23</f>
        <v>1.0059187105764356</v>
      </c>
      <c r="D20" s="4">
        <f>'noi suy'!C18</f>
        <v>150</v>
      </c>
      <c r="E20" s="4">
        <f>'noi suy'!E18</f>
        <v>8</v>
      </c>
      <c r="F20" s="4">
        <f>'noi suy'!Q18</f>
        <v>0.16</v>
      </c>
      <c r="G20" s="20">
        <f>'noi suy'!S18</f>
        <v>0.43127074876625443</v>
      </c>
    </row>
    <row r="21" spans="2:7">
      <c r="B21" s="14" t="str">
        <f>'bang tinh luu luong'!C24</f>
        <v>15--16</v>
      </c>
      <c r="C21" s="20">
        <f>'bang tinh luu luong'!R24</f>
        <v>1.6842207987052131</v>
      </c>
      <c r="D21" s="4">
        <f>'noi suy'!C19</f>
        <v>200</v>
      </c>
      <c r="E21" s="4">
        <f>'noi suy'!E19</f>
        <v>8</v>
      </c>
      <c r="F21" s="4">
        <f>'noi suy'!Q19</f>
        <v>0.18</v>
      </c>
      <c r="G21" s="20">
        <f>'noi suy'!S19</f>
        <v>0.47895315129296184</v>
      </c>
    </row>
    <row r="22" spans="2:7">
      <c r="B22" s="14" t="str">
        <f>'bang tinh luu luong'!C25</f>
        <v>16-TXL</v>
      </c>
      <c r="C22" s="20">
        <f>'bang tinh luu luong'!R25</f>
        <v>26.103509950237314</v>
      </c>
      <c r="D22" s="4">
        <f>'noi suy'!C20</f>
        <v>250</v>
      </c>
      <c r="E22" s="4">
        <f>'noi suy'!E20</f>
        <v>6</v>
      </c>
      <c r="F22" s="4">
        <f>'noi suy'!Q20</f>
        <v>0.59</v>
      </c>
      <c r="G22" s="20">
        <f>'noi suy'!S20</f>
        <v>0.92434329702830986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"/>
  <sheetViews>
    <sheetView tabSelected="1" workbookViewId="0">
      <selection activeCell="Q4" sqref="Q4"/>
    </sheetView>
  </sheetViews>
  <sheetFormatPr defaultRowHeight="14.5"/>
  <cols>
    <col min="14" max="14" width="11.36328125" bestFit="1" customWidth="1"/>
    <col min="15" max="15" width="13.36328125" customWidth="1"/>
    <col min="16" max="16" width="12.08984375" customWidth="1"/>
    <col min="17" max="17" width="24.08984375" customWidth="1"/>
    <col min="19" max="19" width="17.453125" customWidth="1"/>
    <col min="20" max="20" width="23.54296875" bestFit="1" customWidth="1"/>
  </cols>
  <sheetData>
    <row r="1" spans="1:19" ht="21.5" customHeight="1"/>
    <row r="2" spans="1:19">
      <c r="A2" s="27" t="s">
        <v>0</v>
      </c>
      <c r="B2" s="27" t="s">
        <v>69</v>
      </c>
      <c r="C2" s="27" t="s">
        <v>60</v>
      </c>
      <c r="D2" s="27" t="s">
        <v>88</v>
      </c>
      <c r="E2" s="27" t="s">
        <v>87</v>
      </c>
      <c r="F2" s="27" t="s">
        <v>70</v>
      </c>
      <c r="G2" s="27" t="s">
        <v>71</v>
      </c>
      <c r="H2" s="27" t="s">
        <v>72</v>
      </c>
      <c r="I2" s="27" t="s">
        <v>73</v>
      </c>
      <c r="J2" s="27" t="s">
        <v>74</v>
      </c>
      <c r="K2" s="27" t="s">
        <v>75</v>
      </c>
      <c r="L2" s="27" t="s">
        <v>76</v>
      </c>
      <c r="M2" s="27" t="s">
        <v>77</v>
      </c>
      <c r="N2" s="27" t="s">
        <v>78</v>
      </c>
      <c r="O2" s="27" t="s">
        <v>79</v>
      </c>
      <c r="P2" s="27" t="s">
        <v>80</v>
      </c>
      <c r="Q2" s="28" t="s">
        <v>81</v>
      </c>
      <c r="R2" s="27" t="s">
        <v>82</v>
      </c>
      <c r="S2" s="28" t="s">
        <v>86</v>
      </c>
    </row>
    <row r="3" spans="1:19">
      <c r="A3" s="24" t="str">
        <f>'bang tinh luu luong'!C8</f>
        <v>1--12</v>
      </c>
      <c r="B3" s="24">
        <f>'bang tinh luu luong'!R8</f>
        <v>1.0662315210908972</v>
      </c>
      <c r="C3" s="18">
        <v>150</v>
      </c>
      <c r="D3" s="25">
        <f>1/C3*1000</f>
        <v>6.666666666666667</v>
      </c>
      <c r="E3" s="25">
        <v>8</v>
      </c>
      <c r="F3" s="18">
        <v>0.6</v>
      </c>
      <c r="G3" s="18">
        <v>1.1299999999999999</v>
      </c>
      <c r="H3" s="18">
        <v>0.37</v>
      </c>
      <c r="I3" s="18">
        <v>0.45</v>
      </c>
      <c r="J3" s="18">
        <v>0.15</v>
      </c>
      <c r="K3" s="18">
        <v>0.2</v>
      </c>
      <c r="L3" s="26">
        <f t="shared" ref="L3:L20" si="0">G3-F3</f>
        <v>0.52999999999999992</v>
      </c>
      <c r="M3" s="18">
        <f t="shared" ref="M3:M20" si="1">K3-J3</f>
        <v>5.0000000000000017E-2</v>
      </c>
      <c r="N3" s="18">
        <f t="shared" ref="N3:N20" si="2">I3-H3</f>
        <v>8.0000000000000016E-2</v>
      </c>
      <c r="O3" s="24">
        <f t="shared" ref="O3:O20" si="3">B3-F3</f>
        <v>0.46623152109089727</v>
      </c>
      <c r="P3" s="18">
        <f>M3/L3</f>
        <v>9.4339622641509482E-2</v>
      </c>
      <c r="Q3" s="18">
        <f t="shared" ref="Q3:Q20" si="4">ROUND(K3-P3*O3,2)</f>
        <v>0.16</v>
      </c>
      <c r="R3" s="18">
        <f>N3/L3</f>
        <v>0.15094339622641514</v>
      </c>
      <c r="S3" s="24">
        <f t="shared" ref="S3:S20" si="5">H3+(R3)*O3</f>
        <v>0.4403745692212675</v>
      </c>
    </row>
    <row r="4" spans="1:19">
      <c r="A4" s="24" t="str">
        <f>'bang tinh luu luong'!C9</f>
        <v>2--3</v>
      </c>
      <c r="B4" s="24">
        <f>'bang tinh luu luong'!R9</f>
        <v>0.89405634996492656</v>
      </c>
      <c r="C4" s="18">
        <v>150</v>
      </c>
      <c r="D4" s="25">
        <f>1/C4*1000</f>
        <v>6.666666666666667</v>
      </c>
      <c r="E4" s="25">
        <v>8</v>
      </c>
      <c r="F4" s="18">
        <v>0.6</v>
      </c>
      <c r="G4" s="18">
        <v>1.1299999999999999</v>
      </c>
      <c r="H4" s="18">
        <v>0.37</v>
      </c>
      <c r="I4" s="18">
        <v>0.45</v>
      </c>
      <c r="J4" s="18">
        <v>0.15</v>
      </c>
      <c r="K4" s="18">
        <v>0.2</v>
      </c>
      <c r="L4" s="26">
        <f t="shared" si="0"/>
        <v>0.52999999999999992</v>
      </c>
      <c r="M4" s="18">
        <f t="shared" si="1"/>
        <v>5.0000000000000017E-2</v>
      </c>
      <c r="N4" s="18">
        <f t="shared" si="2"/>
        <v>8.0000000000000016E-2</v>
      </c>
      <c r="O4" s="18">
        <f t="shared" si="3"/>
        <v>0.29405634996492658</v>
      </c>
      <c r="P4" s="18">
        <f t="shared" ref="P4:P20" si="6">M4/L4</f>
        <v>9.4339622641509482E-2</v>
      </c>
      <c r="Q4" s="18">
        <f t="shared" si="4"/>
        <v>0.17</v>
      </c>
      <c r="R4" s="18">
        <f t="shared" ref="R4:R20" si="7">N4/L4</f>
        <v>0.15094339622641514</v>
      </c>
      <c r="S4" s="24">
        <f t="shared" si="5"/>
        <v>0.41438586414564932</v>
      </c>
    </row>
    <row r="5" spans="1:19" ht="15.5">
      <c r="A5" s="24" t="str">
        <f>'bang tinh luu luong'!C10</f>
        <v>3--11</v>
      </c>
      <c r="B5" s="24">
        <f>'bang tinh luu luong'!R10</f>
        <v>2.4556004483007117</v>
      </c>
      <c r="C5" s="18">
        <v>250</v>
      </c>
      <c r="D5" s="25">
        <f t="shared" ref="D5:D20" si="8">1/C5*1000</f>
        <v>4</v>
      </c>
      <c r="E5" s="25">
        <v>5</v>
      </c>
      <c r="F5" s="18">
        <v>1.92</v>
      </c>
      <c r="G5" s="18">
        <v>3.46</v>
      </c>
      <c r="H5" s="18">
        <v>0.42</v>
      </c>
      <c r="I5" s="18">
        <v>0.49</v>
      </c>
      <c r="J5" s="18">
        <v>0.15</v>
      </c>
      <c r="K5" s="19">
        <v>0.2</v>
      </c>
      <c r="L5" s="18">
        <f t="shared" si="0"/>
        <v>1.54</v>
      </c>
      <c r="M5" s="18">
        <f t="shared" si="1"/>
        <v>5.0000000000000017E-2</v>
      </c>
      <c r="N5" s="18">
        <f t="shared" si="2"/>
        <v>7.0000000000000007E-2</v>
      </c>
      <c r="O5" s="18">
        <f t="shared" si="3"/>
        <v>0.53560044830071174</v>
      </c>
      <c r="P5" s="18">
        <f t="shared" si="6"/>
        <v>3.2467532467532478E-2</v>
      </c>
      <c r="Q5" s="18">
        <f t="shared" si="4"/>
        <v>0.18</v>
      </c>
      <c r="R5" s="18">
        <f t="shared" si="7"/>
        <v>4.5454545454545456E-2</v>
      </c>
      <c r="S5" s="24">
        <f t="shared" si="5"/>
        <v>0.44434547492275961</v>
      </c>
    </row>
    <row r="6" spans="1:19" ht="15.5">
      <c r="A6" s="24" t="str">
        <f>'bang tinh luu luong'!C11</f>
        <v>12--11</v>
      </c>
      <c r="B6" s="24">
        <f>'bang tinh luu luong'!R11</f>
        <v>2.5092291527528738</v>
      </c>
      <c r="C6" s="18">
        <v>250</v>
      </c>
      <c r="D6" s="25">
        <f t="shared" si="8"/>
        <v>4</v>
      </c>
      <c r="E6" s="25">
        <v>5</v>
      </c>
      <c r="F6" s="18">
        <v>1.92</v>
      </c>
      <c r="G6" s="18">
        <v>3.46</v>
      </c>
      <c r="H6" s="18">
        <v>0.42</v>
      </c>
      <c r="I6" s="18">
        <v>0.49</v>
      </c>
      <c r="J6" s="18">
        <v>0.15</v>
      </c>
      <c r="K6" s="19">
        <v>0.2</v>
      </c>
      <c r="L6" s="18">
        <f t="shared" si="0"/>
        <v>1.54</v>
      </c>
      <c r="M6" s="18">
        <f t="shared" si="1"/>
        <v>5.0000000000000017E-2</v>
      </c>
      <c r="N6" s="18">
        <f t="shared" si="2"/>
        <v>7.0000000000000007E-2</v>
      </c>
      <c r="O6" s="18">
        <f t="shared" si="3"/>
        <v>0.58922915275287391</v>
      </c>
      <c r="P6" s="18">
        <f t="shared" si="6"/>
        <v>3.2467532467532478E-2</v>
      </c>
      <c r="Q6" s="18">
        <f t="shared" si="4"/>
        <v>0.18</v>
      </c>
      <c r="R6" s="18">
        <f t="shared" si="7"/>
        <v>4.5454545454545456E-2</v>
      </c>
      <c r="S6" s="24">
        <f t="shared" si="5"/>
        <v>0.44678314330694879</v>
      </c>
    </row>
    <row r="7" spans="1:19">
      <c r="A7" s="24" t="str">
        <f>'bang tinh luu luong'!C12</f>
        <v>4--5</v>
      </c>
      <c r="B7" s="24">
        <f>'bang tinh luu luong'!R12</f>
        <v>0.8100546343263475</v>
      </c>
      <c r="C7" s="18">
        <v>150</v>
      </c>
      <c r="D7" s="25">
        <f t="shared" si="8"/>
        <v>6.666666666666667</v>
      </c>
      <c r="E7" s="25">
        <v>8</v>
      </c>
      <c r="F7" s="18">
        <v>0.6</v>
      </c>
      <c r="G7" s="18">
        <v>1.1299999999999999</v>
      </c>
      <c r="H7" s="18">
        <v>0.37</v>
      </c>
      <c r="I7" s="18">
        <v>0.45</v>
      </c>
      <c r="J7" s="18">
        <v>0.15</v>
      </c>
      <c r="K7" s="18">
        <v>0.2</v>
      </c>
      <c r="L7" s="18">
        <f t="shared" si="0"/>
        <v>0.52999999999999992</v>
      </c>
      <c r="M7" s="18">
        <f t="shared" si="1"/>
        <v>5.0000000000000017E-2</v>
      </c>
      <c r="N7" s="18">
        <f t="shared" si="2"/>
        <v>8.0000000000000016E-2</v>
      </c>
      <c r="O7" s="18">
        <f t="shared" si="3"/>
        <v>0.21005463432634752</v>
      </c>
      <c r="P7" s="18">
        <f t="shared" si="6"/>
        <v>9.4339622641509482E-2</v>
      </c>
      <c r="Q7" s="18">
        <f t="shared" si="4"/>
        <v>0.18</v>
      </c>
      <c r="R7" s="18">
        <f t="shared" si="7"/>
        <v>0.15094339622641514</v>
      </c>
      <c r="S7" s="24">
        <f t="shared" si="5"/>
        <v>0.4017063598983166</v>
      </c>
    </row>
    <row r="8" spans="1:19">
      <c r="A8" s="24" t="str">
        <f>'bang tinh luu luong'!C13</f>
        <v>6--5</v>
      </c>
      <c r="B8" s="24">
        <f>'bang tinh luu luong'!R13</f>
        <v>0.8100546343263475</v>
      </c>
      <c r="C8" s="18">
        <v>150</v>
      </c>
      <c r="D8" s="25">
        <f t="shared" si="8"/>
        <v>6.666666666666667</v>
      </c>
      <c r="E8" s="25">
        <v>8</v>
      </c>
      <c r="F8" s="18">
        <v>0.6</v>
      </c>
      <c r="G8" s="18">
        <v>1.1299999999999999</v>
      </c>
      <c r="H8" s="18">
        <v>0.37</v>
      </c>
      <c r="I8" s="18">
        <v>0.45</v>
      </c>
      <c r="J8" s="18">
        <v>0.15</v>
      </c>
      <c r="K8" s="18">
        <v>0.2</v>
      </c>
      <c r="L8" s="18">
        <f t="shared" si="0"/>
        <v>0.52999999999999992</v>
      </c>
      <c r="M8" s="18">
        <f t="shared" si="1"/>
        <v>5.0000000000000017E-2</v>
      </c>
      <c r="N8" s="18">
        <f t="shared" si="2"/>
        <v>8.0000000000000016E-2</v>
      </c>
      <c r="O8" s="18">
        <f t="shared" si="3"/>
        <v>0.21005463432634752</v>
      </c>
      <c r="P8" s="18">
        <f t="shared" si="6"/>
        <v>9.4339622641509482E-2</v>
      </c>
      <c r="Q8" s="18">
        <f t="shared" si="4"/>
        <v>0.18</v>
      </c>
      <c r="R8" s="18">
        <f t="shared" si="7"/>
        <v>0.15094339622641514</v>
      </c>
      <c r="S8" s="24">
        <f t="shared" si="5"/>
        <v>0.4017063598983166</v>
      </c>
    </row>
    <row r="9" spans="1:19" ht="15.5">
      <c r="A9" s="24" t="str">
        <f>'bang tinh luu luong'!C14</f>
        <v>5--9</v>
      </c>
      <c r="B9" s="24">
        <f>'bang tinh luu luong'!R14</f>
        <v>2.836150850196633</v>
      </c>
      <c r="C9" s="18">
        <v>250</v>
      </c>
      <c r="D9" s="25">
        <f t="shared" si="8"/>
        <v>4</v>
      </c>
      <c r="E9" s="25">
        <v>5</v>
      </c>
      <c r="F9" s="18">
        <v>1.92</v>
      </c>
      <c r="G9" s="18">
        <v>3.46</v>
      </c>
      <c r="H9" s="18">
        <v>0.42</v>
      </c>
      <c r="I9" s="18">
        <v>0.49</v>
      </c>
      <c r="J9" s="18">
        <v>0.15</v>
      </c>
      <c r="K9" s="19">
        <v>0.2</v>
      </c>
      <c r="L9" s="18">
        <f t="shared" si="0"/>
        <v>1.54</v>
      </c>
      <c r="M9" s="18">
        <f t="shared" si="1"/>
        <v>5.0000000000000017E-2</v>
      </c>
      <c r="N9" s="18">
        <f t="shared" si="2"/>
        <v>7.0000000000000007E-2</v>
      </c>
      <c r="O9" s="18">
        <f t="shared" si="3"/>
        <v>0.91615085019663312</v>
      </c>
      <c r="P9" s="18">
        <f t="shared" si="6"/>
        <v>3.2467532467532478E-2</v>
      </c>
      <c r="Q9" s="18">
        <f t="shared" si="4"/>
        <v>0.17</v>
      </c>
      <c r="R9" s="18">
        <f t="shared" si="7"/>
        <v>4.5454545454545456E-2</v>
      </c>
      <c r="S9" s="24">
        <f t="shared" si="5"/>
        <v>0.46164322046348333</v>
      </c>
    </row>
    <row r="10" spans="1:19">
      <c r="A10" s="24" t="str">
        <f>'bang tinh luu luong'!C15</f>
        <v>7--8</v>
      </c>
      <c r="B10" s="24">
        <f>'bang tinh luu luong'!R15</f>
        <v>0.93671754252117923</v>
      </c>
      <c r="C10" s="18">
        <v>150</v>
      </c>
      <c r="D10" s="25">
        <f t="shared" si="8"/>
        <v>6.666666666666667</v>
      </c>
      <c r="E10" s="25">
        <v>8</v>
      </c>
      <c r="F10" s="18">
        <v>0.6</v>
      </c>
      <c r="G10" s="18">
        <v>1.1299999999999999</v>
      </c>
      <c r="H10" s="18">
        <v>0.37</v>
      </c>
      <c r="I10" s="18">
        <v>0.45</v>
      </c>
      <c r="J10" s="18">
        <v>0.15</v>
      </c>
      <c r="K10" s="18">
        <v>0.2</v>
      </c>
      <c r="L10" s="18">
        <f t="shared" si="0"/>
        <v>0.52999999999999992</v>
      </c>
      <c r="M10" s="18">
        <f t="shared" si="1"/>
        <v>5.0000000000000017E-2</v>
      </c>
      <c r="N10" s="18">
        <f t="shared" si="2"/>
        <v>8.0000000000000016E-2</v>
      </c>
      <c r="O10" s="18">
        <f t="shared" si="3"/>
        <v>0.33671754252117925</v>
      </c>
      <c r="P10" s="18">
        <f t="shared" si="6"/>
        <v>9.4339622641509482E-2</v>
      </c>
      <c r="Q10" s="18">
        <f t="shared" si="4"/>
        <v>0.17</v>
      </c>
      <c r="R10" s="18">
        <f t="shared" si="7"/>
        <v>0.15094339622641514</v>
      </c>
      <c r="S10" s="24">
        <f t="shared" si="5"/>
        <v>0.42082528943715913</v>
      </c>
    </row>
    <row r="11" spans="1:19">
      <c r="A11" s="24" t="str">
        <f>'bang tinh luu luong'!C16</f>
        <v>8--9</v>
      </c>
      <c r="B11" s="24">
        <f>'bang tinh luu luong'!R16</f>
        <v>10.211579660016369</v>
      </c>
      <c r="C11" s="18">
        <v>250</v>
      </c>
      <c r="D11" s="25">
        <f t="shared" si="8"/>
        <v>4</v>
      </c>
      <c r="E11" s="25">
        <v>6</v>
      </c>
      <c r="F11" s="18">
        <v>8.4700000000000006</v>
      </c>
      <c r="G11" s="18">
        <v>11.3</v>
      </c>
      <c r="H11" s="18">
        <v>0.68</v>
      </c>
      <c r="I11" s="18">
        <v>0.74</v>
      </c>
      <c r="J11" s="18">
        <v>0.3</v>
      </c>
      <c r="K11" s="18">
        <v>0.35</v>
      </c>
      <c r="L11" s="18">
        <f t="shared" si="0"/>
        <v>2.83</v>
      </c>
      <c r="M11" s="18">
        <f t="shared" si="1"/>
        <v>4.9999999999999989E-2</v>
      </c>
      <c r="N11" s="18">
        <f t="shared" si="2"/>
        <v>5.9999999999999942E-2</v>
      </c>
      <c r="O11" s="18">
        <f t="shared" si="3"/>
        <v>1.7415796600163684</v>
      </c>
      <c r="P11" s="18">
        <f t="shared" si="6"/>
        <v>1.7667844522968195E-2</v>
      </c>
      <c r="Q11" s="18">
        <f t="shared" si="4"/>
        <v>0.32</v>
      </c>
      <c r="R11" s="18">
        <f t="shared" si="7"/>
        <v>2.1201413427561818E-2</v>
      </c>
      <c r="S11" s="24">
        <f t="shared" si="5"/>
        <v>0.71692395038903967</v>
      </c>
    </row>
    <row r="12" spans="1:19">
      <c r="A12" s="24" t="str">
        <f>'bang tinh luu luong'!C17</f>
        <v>10--9</v>
      </c>
      <c r="B12" s="24">
        <f>'bang tinh luu luong'!R17</f>
        <v>1.5063619423052645</v>
      </c>
      <c r="C12" s="18">
        <v>200</v>
      </c>
      <c r="D12" s="25">
        <f t="shared" si="8"/>
        <v>5</v>
      </c>
      <c r="E12" s="25">
        <v>8</v>
      </c>
      <c r="F12" s="18">
        <v>1.34</v>
      </c>
      <c r="G12" s="18">
        <v>2.41</v>
      </c>
      <c r="H12" s="18">
        <v>0.45</v>
      </c>
      <c r="I12" s="18">
        <v>0.54</v>
      </c>
      <c r="J12" s="18">
        <v>0.15</v>
      </c>
      <c r="K12" s="18">
        <v>0.2</v>
      </c>
      <c r="L12" s="18">
        <f t="shared" si="0"/>
        <v>1.07</v>
      </c>
      <c r="M12" s="18">
        <f t="shared" si="1"/>
        <v>5.0000000000000017E-2</v>
      </c>
      <c r="N12" s="18">
        <f t="shared" si="2"/>
        <v>9.0000000000000024E-2</v>
      </c>
      <c r="O12" s="18">
        <f t="shared" si="3"/>
        <v>0.16636194230526447</v>
      </c>
      <c r="P12" s="18">
        <f t="shared" si="6"/>
        <v>4.6728971962616835E-2</v>
      </c>
      <c r="Q12" s="18">
        <f t="shared" si="4"/>
        <v>0.19</v>
      </c>
      <c r="R12" s="18">
        <f t="shared" si="7"/>
        <v>8.4112149532710304E-2</v>
      </c>
      <c r="S12" s="24">
        <f t="shared" si="5"/>
        <v>0.46399306056773254</v>
      </c>
    </row>
    <row r="13" spans="1:19">
      <c r="A13" s="24" t="str">
        <f>'bang tinh luu luong'!C18</f>
        <v>13--18</v>
      </c>
      <c r="B13" s="24">
        <f>'bang tinh luu luong'!R18</f>
        <v>1.2455289452822167</v>
      </c>
      <c r="C13" s="18">
        <v>200</v>
      </c>
      <c r="D13" s="25">
        <f t="shared" si="8"/>
        <v>5</v>
      </c>
      <c r="E13" s="25">
        <v>8</v>
      </c>
      <c r="F13" s="18">
        <v>0.56999999999999995</v>
      </c>
      <c r="G13" s="18">
        <v>1.43</v>
      </c>
      <c r="H13" s="18">
        <v>0.35</v>
      </c>
      <c r="I13" s="18">
        <v>0.45</v>
      </c>
      <c r="J13" s="18">
        <v>0.1</v>
      </c>
      <c r="K13" s="18">
        <v>0.15</v>
      </c>
      <c r="L13" s="18">
        <f t="shared" si="0"/>
        <v>0.86</v>
      </c>
      <c r="M13" s="18">
        <f t="shared" si="1"/>
        <v>4.9999999999999989E-2</v>
      </c>
      <c r="N13" s="18">
        <f t="shared" si="2"/>
        <v>0.10000000000000003</v>
      </c>
      <c r="O13" s="18">
        <f t="shared" si="3"/>
        <v>0.67552894528221674</v>
      </c>
      <c r="P13" s="18">
        <f t="shared" si="6"/>
        <v>5.8139534883720916E-2</v>
      </c>
      <c r="Q13" s="18">
        <f t="shared" si="4"/>
        <v>0.11</v>
      </c>
      <c r="R13" s="18">
        <f t="shared" si="7"/>
        <v>0.1162790697674419</v>
      </c>
      <c r="S13" s="24">
        <f t="shared" si="5"/>
        <v>0.42854987735839728</v>
      </c>
    </row>
    <row r="14" spans="1:19">
      <c r="A14" s="24" t="str">
        <f>'bang tinh luu luong'!C19</f>
        <v>18--17</v>
      </c>
      <c r="B14" s="24">
        <f>'bang tinh luu luong'!R19</f>
        <v>2.2757732436582607</v>
      </c>
      <c r="C14" s="18">
        <v>200</v>
      </c>
      <c r="D14" s="25">
        <f t="shared" si="8"/>
        <v>5</v>
      </c>
      <c r="E14" s="25">
        <v>8</v>
      </c>
      <c r="F14" s="18">
        <v>1.34</v>
      </c>
      <c r="G14" s="18">
        <v>2.41</v>
      </c>
      <c r="H14" s="18">
        <v>0.45</v>
      </c>
      <c r="I14" s="18">
        <v>0.54</v>
      </c>
      <c r="J14" s="18">
        <v>0.15</v>
      </c>
      <c r="K14" s="18">
        <v>0.2</v>
      </c>
      <c r="L14" s="18">
        <f t="shared" si="0"/>
        <v>1.07</v>
      </c>
      <c r="M14" s="18">
        <f t="shared" si="1"/>
        <v>5.0000000000000017E-2</v>
      </c>
      <c r="N14" s="18">
        <f t="shared" si="2"/>
        <v>9.0000000000000024E-2</v>
      </c>
      <c r="O14" s="18">
        <f t="shared" si="3"/>
        <v>0.93577324365826065</v>
      </c>
      <c r="P14" s="18">
        <f t="shared" si="6"/>
        <v>4.6728971962616835E-2</v>
      </c>
      <c r="Q14" s="18">
        <f t="shared" si="4"/>
        <v>0.16</v>
      </c>
      <c r="R14" s="18">
        <f t="shared" si="7"/>
        <v>8.4112149532710304E-2</v>
      </c>
      <c r="S14" s="24">
        <f t="shared" si="5"/>
        <v>0.52870989899929299</v>
      </c>
    </row>
    <row r="15" spans="1:19">
      <c r="A15" s="24" t="str">
        <f>'bang tinh luu luong'!C20</f>
        <v>11--17</v>
      </c>
      <c r="B15" s="24">
        <f>'bang tinh luu luong'!R20</f>
        <v>13.983691200439445</v>
      </c>
      <c r="C15" s="18">
        <v>250</v>
      </c>
      <c r="D15" s="25">
        <f t="shared" si="8"/>
        <v>4</v>
      </c>
      <c r="E15" s="25">
        <v>6</v>
      </c>
      <c r="F15" s="18">
        <v>11.3</v>
      </c>
      <c r="G15" s="18">
        <v>14.6</v>
      </c>
      <c r="H15" s="18">
        <v>0.74</v>
      </c>
      <c r="I15" s="18">
        <v>0.8</v>
      </c>
      <c r="J15" s="18">
        <v>0.35</v>
      </c>
      <c r="K15" s="18">
        <v>0.4</v>
      </c>
      <c r="L15" s="18">
        <f t="shared" si="0"/>
        <v>3.2999999999999989</v>
      </c>
      <c r="M15" s="18">
        <f t="shared" si="1"/>
        <v>5.0000000000000044E-2</v>
      </c>
      <c r="N15" s="18">
        <f t="shared" si="2"/>
        <v>6.0000000000000053E-2</v>
      </c>
      <c r="O15" s="18">
        <f t="shared" si="3"/>
        <v>2.6836912004394442</v>
      </c>
      <c r="P15" s="18">
        <f t="shared" si="6"/>
        <v>1.5151515151515169E-2</v>
      </c>
      <c r="Q15" s="18">
        <f t="shared" si="4"/>
        <v>0.36</v>
      </c>
      <c r="R15" s="18">
        <f t="shared" si="7"/>
        <v>1.8181818181818205E-2</v>
      </c>
      <c r="S15" s="24">
        <f t="shared" si="5"/>
        <v>0.78879438546253544</v>
      </c>
    </row>
    <row r="16" spans="1:19">
      <c r="A16" s="24" t="str">
        <f>'bang tinh luu luong'!C21</f>
        <v>17--16</v>
      </c>
      <c r="B16" s="24">
        <f>'bang tinh luu luong'!R21</f>
        <v>10.884166760013526</v>
      </c>
      <c r="C16" s="18">
        <v>250</v>
      </c>
      <c r="D16" s="25">
        <f t="shared" si="8"/>
        <v>4</v>
      </c>
      <c r="E16" s="25">
        <v>6</v>
      </c>
      <c r="F16" s="18">
        <v>8.4700000000000006</v>
      </c>
      <c r="G16" s="18">
        <v>11.3</v>
      </c>
      <c r="H16" s="18">
        <v>0.68</v>
      </c>
      <c r="I16" s="18">
        <v>0.74</v>
      </c>
      <c r="J16" s="18">
        <v>0.3</v>
      </c>
      <c r="K16" s="18">
        <v>0.35</v>
      </c>
      <c r="L16" s="18">
        <f t="shared" si="0"/>
        <v>2.83</v>
      </c>
      <c r="M16" s="18">
        <f t="shared" si="1"/>
        <v>4.9999999999999989E-2</v>
      </c>
      <c r="N16" s="18">
        <f t="shared" si="2"/>
        <v>5.9999999999999942E-2</v>
      </c>
      <c r="O16" s="18">
        <f t="shared" si="3"/>
        <v>2.4141667600135257</v>
      </c>
      <c r="P16" s="18">
        <f t="shared" si="6"/>
        <v>1.7667844522968195E-2</v>
      </c>
      <c r="Q16" s="18">
        <f t="shared" si="4"/>
        <v>0.31</v>
      </c>
      <c r="R16" s="18">
        <f t="shared" si="7"/>
        <v>2.1201413427561818E-2</v>
      </c>
      <c r="S16" s="24">
        <f t="shared" si="5"/>
        <v>0.73118374756212423</v>
      </c>
    </row>
    <row r="17" spans="1:19">
      <c r="A17" s="24" t="str">
        <f>'bang tinh luu luong'!C22</f>
        <v>9--16</v>
      </c>
      <c r="B17" s="24">
        <f>'bang tinh luu luong'!R22</f>
        <v>14.895139328044497</v>
      </c>
      <c r="C17" s="18">
        <v>250</v>
      </c>
      <c r="D17" s="25">
        <f t="shared" si="8"/>
        <v>4</v>
      </c>
      <c r="E17" s="25">
        <v>6</v>
      </c>
      <c r="F17" s="18">
        <v>14.6</v>
      </c>
      <c r="G17" s="18">
        <v>18</v>
      </c>
      <c r="H17" s="18">
        <v>0.8</v>
      </c>
      <c r="I17" s="18">
        <v>0.84</v>
      </c>
      <c r="J17" s="18">
        <v>0.4</v>
      </c>
      <c r="K17" s="18">
        <v>0.45</v>
      </c>
      <c r="L17" s="18">
        <f t="shared" si="0"/>
        <v>3.4000000000000004</v>
      </c>
      <c r="M17" s="18">
        <f t="shared" si="1"/>
        <v>4.9999999999999989E-2</v>
      </c>
      <c r="N17" s="18">
        <f t="shared" si="2"/>
        <v>3.9999999999999925E-2</v>
      </c>
      <c r="O17" s="18">
        <f t="shared" si="3"/>
        <v>0.29513932804449716</v>
      </c>
      <c r="P17" s="18">
        <f t="shared" si="6"/>
        <v>1.4705882352941171E-2</v>
      </c>
      <c r="Q17" s="18">
        <f t="shared" si="4"/>
        <v>0.45</v>
      </c>
      <c r="R17" s="18">
        <f t="shared" si="7"/>
        <v>1.1764705882352918E-2</v>
      </c>
      <c r="S17" s="24">
        <f t="shared" si="5"/>
        <v>0.80347222738875879</v>
      </c>
    </row>
    <row r="18" spans="1:19">
      <c r="A18" s="24" t="str">
        <f>'bang tinh luu luong'!C23</f>
        <v>14--15</v>
      </c>
      <c r="B18" s="24">
        <f>'bang tinh luu luong'!R23</f>
        <v>1.0059187105764356</v>
      </c>
      <c r="C18" s="18">
        <v>150</v>
      </c>
      <c r="D18" s="25">
        <f t="shared" si="8"/>
        <v>6.666666666666667</v>
      </c>
      <c r="E18" s="25">
        <v>8</v>
      </c>
      <c r="F18" s="18">
        <v>0.6</v>
      </c>
      <c r="G18" s="18">
        <v>1.1299999999999999</v>
      </c>
      <c r="H18" s="18">
        <v>0.37</v>
      </c>
      <c r="I18" s="18">
        <v>0.45</v>
      </c>
      <c r="J18" s="18">
        <v>0.15</v>
      </c>
      <c r="K18" s="18">
        <v>0.2</v>
      </c>
      <c r="L18" s="18">
        <f t="shared" si="0"/>
        <v>0.52999999999999992</v>
      </c>
      <c r="M18" s="18">
        <f t="shared" si="1"/>
        <v>5.0000000000000017E-2</v>
      </c>
      <c r="N18" s="18">
        <f t="shared" si="2"/>
        <v>8.0000000000000016E-2</v>
      </c>
      <c r="O18" s="18">
        <f t="shared" si="3"/>
        <v>0.40591871057643558</v>
      </c>
      <c r="P18" s="18">
        <f t="shared" si="6"/>
        <v>9.4339622641509482E-2</v>
      </c>
      <c r="Q18" s="18">
        <f t="shared" si="4"/>
        <v>0.16</v>
      </c>
      <c r="R18" s="18">
        <f t="shared" si="7"/>
        <v>0.15094339622641514</v>
      </c>
      <c r="S18" s="24">
        <f t="shared" si="5"/>
        <v>0.43127074876625443</v>
      </c>
    </row>
    <row r="19" spans="1:19">
      <c r="A19" s="24" t="str">
        <f>'bang tinh luu luong'!C24</f>
        <v>15--16</v>
      </c>
      <c r="B19" s="24">
        <f>'bang tinh luu luong'!R24</f>
        <v>1.6842207987052131</v>
      </c>
      <c r="C19" s="18">
        <v>200</v>
      </c>
      <c r="D19" s="25">
        <f t="shared" si="8"/>
        <v>5</v>
      </c>
      <c r="E19" s="25">
        <v>8</v>
      </c>
      <c r="F19" s="18">
        <v>1.34</v>
      </c>
      <c r="G19" s="18">
        <v>2.41</v>
      </c>
      <c r="H19" s="18">
        <v>0.45</v>
      </c>
      <c r="I19" s="18">
        <v>0.54</v>
      </c>
      <c r="J19" s="18">
        <v>0.15</v>
      </c>
      <c r="K19" s="18">
        <v>0.2</v>
      </c>
      <c r="L19" s="18">
        <f t="shared" si="0"/>
        <v>1.07</v>
      </c>
      <c r="M19" s="18">
        <f t="shared" si="1"/>
        <v>5.0000000000000017E-2</v>
      </c>
      <c r="N19" s="18">
        <f t="shared" si="2"/>
        <v>9.0000000000000024E-2</v>
      </c>
      <c r="O19" s="18">
        <f t="shared" si="3"/>
        <v>0.34422079870521305</v>
      </c>
      <c r="P19" s="18">
        <f t="shared" si="6"/>
        <v>4.6728971962616835E-2</v>
      </c>
      <c r="Q19" s="18">
        <f t="shared" si="4"/>
        <v>0.18</v>
      </c>
      <c r="R19" s="18">
        <f t="shared" si="7"/>
        <v>8.4112149532710304E-2</v>
      </c>
      <c r="S19" s="24">
        <f t="shared" si="5"/>
        <v>0.47895315129296184</v>
      </c>
    </row>
    <row r="20" spans="1:19">
      <c r="A20" s="24" t="str">
        <f>'bang tinh luu luong'!C25</f>
        <v>16-TXL</v>
      </c>
      <c r="B20" s="24">
        <f>'bang tinh luu luong'!R25</f>
        <v>26.103509950237314</v>
      </c>
      <c r="C20" s="18">
        <v>250</v>
      </c>
      <c r="D20" s="25">
        <f t="shared" si="8"/>
        <v>4</v>
      </c>
      <c r="E20" s="25">
        <v>6</v>
      </c>
      <c r="F20" s="18">
        <v>25.3</v>
      </c>
      <c r="G20" s="18">
        <v>29</v>
      </c>
      <c r="H20" s="18">
        <v>0.92</v>
      </c>
      <c r="I20" s="18">
        <v>0.94</v>
      </c>
      <c r="J20" s="18">
        <v>0.55000000000000004</v>
      </c>
      <c r="K20" s="18">
        <v>0.6</v>
      </c>
      <c r="L20" s="18">
        <f t="shared" si="0"/>
        <v>3.6999999999999993</v>
      </c>
      <c r="M20" s="18">
        <f t="shared" si="1"/>
        <v>4.9999999999999933E-2</v>
      </c>
      <c r="N20" s="18">
        <f t="shared" si="2"/>
        <v>1.9999999999999907E-2</v>
      </c>
      <c r="O20" s="18">
        <f t="shared" si="3"/>
        <v>0.80350995023731286</v>
      </c>
      <c r="P20" s="18">
        <f t="shared" si="6"/>
        <v>1.3513513513513499E-2</v>
      </c>
      <c r="Q20" s="18">
        <f t="shared" si="4"/>
        <v>0.59</v>
      </c>
      <c r="R20" s="18">
        <f t="shared" si="7"/>
        <v>5.4054054054053814E-3</v>
      </c>
      <c r="S20" s="24">
        <f t="shared" si="5"/>
        <v>0.92434329702830986</v>
      </c>
    </row>
    <row r="21" spans="1:19">
      <c r="B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bang tinh luu luong</vt:lpstr>
      <vt:lpstr>Bang thong so thuy luc</vt:lpstr>
      <vt:lpstr>noi suy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2025-04-04T03:39:30Z</dcterms:modified>
</cp:coreProperties>
</file>